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hidePivotFieldList="1"/>
  <xr:revisionPtr revIDLastSave="0" documentId="13_ncr:1_{E2B37693-4595-4D9F-8F1E-182B1460B303}" xr6:coauthVersionLast="47" xr6:coauthVersionMax="47" xr10:uidLastSave="{00000000-0000-0000-0000-000000000000}"/>
  <bookViews>
    <workbookView xWindow="-108" yWindow="-108" windowWidth="23256" windowHeight="12456" tabRatio="873" xr2:uid="{00000000-000D-0000-FFFF-FFFF00000000}"/>
  </bookViews>
  <sheets>
    <sheet name="BUILDING 1" sheetId="26" r:id="rId1"/>
    <sheet name="BUILDING 2" sheetId="33" r:id="rId2"/>
    <sheet name="BUILDING 3" sheetId="34" r:id="rId3"/>
    <sheet name="BUILDING 4" sheetId="35" r:id="rId4"/>
    <sheet name="BUILDING 5" sheetId="40" r:id="rId5"/>
    <sheet name="BUILDING 6" sheetId="41" r:id="rId6"/>
    <sheet name="BUILDING 7" sheetId="42" r:id="rId7"/>
    <sheet name="BUILDING 8" sheetId="36" r:id="rId8"/>
    <sheet name="MAIL KIKOSK" sheetId="37" r:id="rId9"/>
    <sheet name="POOL HOUSE" sheetId="38" r:id="rId10"/>
    <sheet name="SITE" sheetId="39" r:id="rId11"/>
    <sheet name="Dashboard" sheetId="30" r:id="rId12"/>
    <sheet name="Data for Dashboard" sheetId="31" state="hidden" r:id="rId13"/>
    <sheet name="COST SUMMARY" sheetId="12" r:id="rId14"/>
    <sheet name="HOURLY RATES" sheetId="22" r:id="rId15"/>
    <sheet name="Data for Rough Cost" sheetId="32" state="hidden" r:id="rId16"/>
  </sheets>
  <definedNames>
    <definedName name="_xlnm._FilterDatabase" localSheetId="0" hidden="1">'BUILDING 1'!$J$1:$J$221</definedName>
    <definedName name="_xlnm._FilterDatabase" localSheetId="1" hidden="1">'BUILDING 2'!$J$1:$J$220</definedName>
    <definedName name="_xlnm._FilterDatabase" localSheetId="2" hidden="1">'BUILDING 3'!$J$1:$J$202</definedName>
    <definedName name="_xlnm._FilterDatabase" localSheetId="3" hidden="1">'BUILDING 4'!$J$1:$J$112</definedName>
    <definedName name="_xlnm._FilterDatabase" localSheetId="4" hidden="1">'BUILDING 5'!$J$1:$J$112</definedName>
    <definedName name="_xlnm._FilterDatabase" localSheetId="5" hidden="1">'BUILDING 6'!$J$1:$J$112</definedName>
    <definedName name="_xlnm._FilterDatabase" localSheetId="6" hidden="1">'BUILDING 7'!$J$1:$J$112</definedName>
    <definedName name="_xlnm._FilterDatabase" localSheetId="7" hidden="1">'BUILDING 8'!$J$1:$J$220</definedName>
    <definedName name="_xlnm._FilterDatabase" localSheetId="13" hidden="1">'COST SUMMARY'!#REF!</definedName>
    <definedName name="_xlnm._FilterDatabase" localSheetId="14" hidden="1">'HOURLY RATES'!$B$8:$D$104</definedName>
    <definedName name="_xlnm._FilterDatabase" localSheetId="8" hidden="1">'MAIL KIKOSK'!$J$1:$J$87</definedName>
    <definedName name="_xlnm._FilterDatabase" localSheetId="9" hidden="1">'POOL HOUSE'!$J$1:$J$86</definedName>
    <definedName name="_xlnm._FilterDatabase" localSheetId="10" hidden="1">SITE!$J$1:$J$88</definedName>
    <definedName name="Average">'Data for Rough Cost'!$D$111:$D$122</definedName>
    <definedName name="Average1">'Data for Rough Cost'!$DK$2:$DK$5</definedName>
    <definedName name="Average10">'Data for Rough Cost'!$DT$2:$DT$5</definedName>
    <definedName name="Average11">'Data for Rough Cost'!$DU$2:$DU$3</definedName>
    <definedName name="Average12">'Data for Rough Cost'!$DV$2:$DV$3</definedName>
    <definedName name="Average2">'Data for Rough Cost'!$DL$2:$DL$5</definedName>
    <definedName name="Average3">'Data for Rough Cost'!$DM$2:$DM$5</definedName>
    <definedName name="Average4">'Data for Rough Cost'!$DN$2:$DN$5</definedName>
    <definedName name="Average5">'Data for Rough Cost'!$DO$2:$DO$5</definedName>
    <definedName name="Average6">'Data for Rough Cost'!$DP$2:$DP$5</definedName>
    <definedName name="Average7">'Data for Rough Cost'!$DQ$2:$DQ$5</definedName>
    <definedName name="Average8">'Data for Rough Cost'!$DR$2:$DR$5</definedName>
    <definedName name="Average9">'Data for Rough Cost'!$DS$2:$DS$5</definedName>
    <definedName name="Categories">'Data for Rough Cost'!$A$2:$A$3</definedName>
    <definedName name="Commercial">'Data for Rough Cost'!$B$2</definedName>
    <definedName name="Custom">'Data for Rough Cost'!$D$123:$D$132</definedName>
    <definedName name="Custom1">'Data for Rough Cost'!$DW$2:$DW$5</definedName>
    <definedName name="Custom10">'Data for Rough Cost'!$EF$2:$EF$5</definedName>
    <definedName name="Custom2">'Data for Rough Cost'!$DX$2:$DX$5</definedName>
    <definedName name="Custom3">'Data for Rough Cost'!$DY$2:$DY$5</definedName>
    <definedName name="Custom4">'Data for Rough Cost'!$DZ$2:$DZ$5</definedName>
    <definedName name="Custom5">'Data for Rough Cost'!$EA$2:$EA$5</definedName>
    <definedName name="Custom6">'Data for Rough Cost'!$EB$2:$EB$5</definedName>
    <definedName name="Custom7">'Data for Rough Cost'!$EC$2:$EC$5</definedName>
    <definedName name="Custom8">'Data for Rough Cost'!$ED$2:$ED$5</definedName>
    <definedName name="Custom9">'Data for Rough Cost'!$EE$2:$EE$5</definedName>
    <definedName name="Default">'Data for Rough Cost'!$D$2:$D$102</definedName>
    <definedName name="Default1">'Data for Rough Cost'!$F$2:$F$7</definedName>
    <definedName name="Default10">'Data for Rough Cost'!$O$2:$O$7</definedName>
    <definedName name="Default100">'Data for Rough Cost'!$DA$2:$DA$7</definedName>
    <definedName name="Default101">'Data for Rough Cost'!$DB$2:$DB$7</definedName>
    <definedName name="Default11">'Data for Rough Cost'!$P$2:$P$7</definedName>
    <definedName name="Default12">'Data for Rough Cost'!$Q$2:$Q$7</definedName>
    <definedName name="Default13">'Data for Rough Cost'!$R$2:$R$7</definedName>
    <definedName name="Default14">'Data for Rough Cost'!$S$2:$S$7</definedName>
    <definedName name="Default15">'Data for Rough Cost'!$T$2:$T$7</definedName>
    <definedName name="Default16">'Data for Rough Cost'!$U$2:$U$7</definedName>
    <definedName name="Default17">'Data for Rough Cost'!$V$2:$V$7</definedName>
    <definedName name="Default18">'Data for Rough Cost'!$W$2:$W$7</definedName>
    <definedName name="Default19">'Data for Rough Cost'!$X$2:$X$7</definedName>
    <definedName name="Default2">'Data for Rough Cost'!$G$2:$G$7</definedName>
    <definedName name="Default20">'Data for Rough Cost'!$Y$2:$Y$7</definedName>
    <definedName name="Default21">'Data for Rough Cost'!$Z$2:$Z$7</definedName>
    <definedName name="Default22">'Data for Rough Cost'!$AA$2:$AA$7</definedName>
    <definedName name="Default23">'Data for Rough Cost'!$AB$2:$AB$7</definedName>
    <definedName name="Default24">'Data for Rough Cost'!$AC$2:$AC$7</definedName>
    <definedName name="Default25">'Data for Rough Cost'!$AD$2:$AD$7</definedName>
    <definedName name="Default26">'Data for Rough Cost'!$AE$2:$AE$7</definedName>
    <definedName name="Default27">'Data for Rough Cost'!$AF$2:$AF$7</definedName>
    <definedName name="Default28">'Data for Rough Cost'!$AG$2:$AG$7</definedName>
    <definedName name="Default29">'Data for Rough Cost'!$AH$2:$AH$7</definedName>
    <definedName name="Default3">'Data for Rough Cost'!$H$2:$H$7</definedName>
    <definedName name="Default30">'Data for Rough Cost'!$AI$2:$AI$7</definedName>
    <definedName name="Default31">'Data for Rough Cost'!$AJ$2:$AJ$7</definedName>
    <definedName name="Default32">'Data for Rough Cost'!$AK$2:$AK$7</definedName>
    <definedName name="Default33">'Data for Rough Cost'!$AL$2:$AL$7</definedName>
    <definedName name="Default34">'Data for Rough Cost'!$AM$2:$AM$7</definedName>
    <definedName name="Default35">'Data for Rough Cost'!$AN$2:$AN$7</definedName>
    <definedName name="Default36">'Data for Rough Cost'!$AO$2:$AO$7</definedName>
    <definedName name="Default37">'Data for Rough Cost'!$AP$2:$AP$7</definedName>
    <definedName name="Default38">'Data for Rough Cost'!$AQ$2:$AQ$7</definedName>
    <definedName name="Default39">'Data for Rough Cost'!$AR$2:$AR$7</definedName>
    <definedName name="Default4">'Data for Rough Cost'!$I$2:$I$7</definedName>
    <definedName name="Default40">'Data for Rough Cost'!$AS$2:$AS$7</definedName>
    <definedName name="Default41">'Data for Rough Cost'!$AT$2:$AT$7</definedName>
    <definedName name="Default42">'Data for Rough Cost'!$AU$2:$AU$7</definedName>
    <definedName name="Default43">'Data for Rough Cost'!$AV$2:$AV$7</definedName>
    <definedName name="Default44">'Data for Rough Cost'!$AW$2:$AW$7</definedName>
    <definedName name="Default45">'Data for Rough Cost'!$AX$2:$AX$7</definedName>
    <definedName name="Default46">'Data for Rough Cost'!$AY$2:$AY$7</definedName>
    <definedName name="Default47">'Data for Rough Cost'!$AZ$2:$AZ$7</definedName>
    <definedName name="Default48">'Data for Rough Cost'!$BA$2:$BA$7</definedName>
    <definedName name="Default49">'Data for Rough Cost'!$BB$2:$BB$7</definedName>
    <definedName name="Default5">'Data for Rough Cost'!$J$2:$J$7</definedName>
    <definedName name="Default50">'Data for Rough Cost'!$BC$2:$BC$7</definedName>
    <definedName name="Default51">'Data for Rough Cost'!$BD$2:$BD$7</definedName>
    <definedName name="Default52">'Data for Rough Cost'!$BE$2:$BE$7</definedName>
    <definedName name="Default53">'Data for Rough Cost'!$BF$2:$BF$7</definedName>
    <definedName name="Default54">'Data for Rough Cost'!$BG$2:$BG$7</definedName>
    <definedName name="Default55">'Data for Rough Cost'!$BH$2:$BH$7</definedName>
    <definedName name="Default56">'Data for Rough Cost'!$BI$2:$BI$7</definedName>
    <definedName name="Default57">'Data for Rough Cost'!$BJ$2:$BJ$7</definedName>
    <definedName name="Default58">'Data for Rough Cost'!$BK$2:$BK$7</definedName>
    <definedName name="Default59">'Data for Rough Cost'!$BL$2:$BL$7</definedName>
    <definedName name="Default6">'Data for Rough Cost'!$K$2:$K$7</definedName>
    <definedName name="Default60">'Data for Rough Cost'!$BM$2:$BM$7</definedName>
    <definedName name="Default61">'Data for Rough Cost'!$BN$2:$BN$7</definedName>
    <definedName name="Default62">'Data for Rough Cost'!$BO$2:$BO$7</definedName>
    <definedName name="Default63">'Data for Rough Cost'!$BP$2:$BP$7</definedName>
    <definedName name="Default64">'Data for Rough Cost'!$BQ$2:$BQ$7</definedName>
    <definedName name="Default65">'Data for Rough Cost'!$BR$2:$BR$7</definedName>
    <definedName name="Default66">'Data for Rough Cost'!$BS$2:$BS$7</definedName>
    <definedName name="Default67">'Data for Rough Cost'!$BT$2:$BT$7</definedName>
    <definedName name="Default68">'Data for Rough Cost'!$BU$2:$BU$7</definedName>
    <definedName name="Default69">'Data for Rough Cost'!$BV$2:$BV$7</definedName>
    <definedName name="Default7">'Data for Rough Cost'!$L$2:$L$7</definedName>
    <definedName name="Default70">'Data for Rough Cost'!$BW$2:$BW$7</definedName>
    <definedName name="Default71">'Data for Rough Cost'!$BX$2:$BX$7</definedName>
    <definedName name="Default72">'Data for Rough Cost'!$BY$2:$BY$7</definedName>
    <definedName name="Default73">'Data for Rough Cost'!$BZ$2:$BZ$5</definedName>
    <definedName name="Default74">'Data for Rough Cost'!$CA$2:$CA$7</definedName>
    <definedName name="Default75">'Data for Rough Cost'!$CB$2:$CB$7</definedName>
    <definedName name="Default76">'Data for Rough Cost'!$CC$2:$CC$7</definedName>
    <definedName name="Default77">'Data for Rough Cost'!$CD$2</definedName>
    <definedName name="Default78">'Data for Rough Cost'!$CE$2</definedName>
    <definedName name="Default79">'Data for Rough Cost'!$CF$2:$CF$5</definedName>
    <definedName name="Default8">'Data for Rough Cost'!$M$2:$M$7</definedName>
    <definedName name="Default80">'Data for Rough Cost'!$CG$2:$CG$7</definedName>
    <definedName name="Default81">'Data for Rough Cost'!$CH$2:$CH$7</definedName>
    <definedName name="Default82">'Data for Rough Cost'!$CI$2:$CI$7</definedName>
    <definedName name="Default83">'Data for Rough Cost'!$CJ$2:$CJ$7</definedName>
    <definedName name="Default84">'Data for Rough Cost'!$CK$2:$CK$7</definedName>
    <definedName name="Default85">'Data for Rough Cost'!$CL$2:$CL$7</definedName>
    <definedName name="Default86">'Data for Rough Cost'!$CM$2:$CM$7</definedName>
    <definedName name="Default87">'Data for Rough Cost'!$CN$2:$CN$7</definedName>
    <definedName name="Default88">'Data for Rough Cost'!$CO$2:$CO$7</definedName>
    <definedName name="Default89">'Data for Rough Cost'!$CP$2:$CP$7</definedName>
    <definedName name="Default9">'Data for Rough Cost'!$N$2:$N$7</definedName>
    <definedName name="Default90">'Data for Rough Cost'!$CQ$2:$CQ$7</definedName>
    <definedName name="Default91">'Data for Rough Cost'!$CR$2:$CR$7</definedName>
    <definedName name="Default92">'Data for Rough Cost'!$CS$2:$CS$7</definedName>
    <definedName name="Default93">'Data for Rough Cost'!$CT$2:$CT$7</definedName>
    <definedName name="Default94">'Data for Rough Cost'!$CU$2:$CU$7</definedName>
    <definedName name="Default95">'Data for Rough Cost'!$CV$2:$CV$7</definedName>
    <definedName name="Default96">'Data for Rough Cost'!$CW$2:$CW$7</definedName>
    <definedName name="Default97">'Data for Rough Cost'!$CX$2:$CX$7</definedName>
    <definedName name="Default98">'Data for Rough Cost'!$CY$2:$CY$7</definedName>
    <definedName name="Default99">'Data for Rough Cost'!$CZ$2:$CZ$7</definedName>
    <definedName name="Economy">'Data for Rough Cost'!$D$103:$D$110</definedName>
    <definedName name="Economy1">'Data for Rough Cost'!$DC$2:$DC$5</definedName>
    <definedName name="Economy2">'Data for Rough Cost'!$DD$2:$DD$5</definedName>
    <definedName name="Economy3">'Data for Rough Cost'!$DE$2:$DE$5</definedName>
    <definedName name="Economy4">'Data for Rough Cost'!$DF$2:$DF$5</definedName>
    <definedName name="Economy5">'Data for Rough Cost'!$DG$2:$DG$5</definedName>
    <definedName name="Economy6">'Data for Rough Cost'!$DH$2:$DH$5</definedName>
    <definedName name="Economy7">'Data for Rough Cost'!$DI$2:$DI$5</definedName>
    <definedName name="Economy8">'Data for Rough Cost'!$DJ$2:$DJ$5</definedName>
    <definedName name="Luxury">'Data for Rough Cost'!$D$133:$D$142</definedName>
    <definedName name="Luxury1">'Data for Rough Cost'!$EG$2:$EG$5</definedName>
    <definedName name="Luxury10">'Data for Rough Cost'!$EP$2:$EP$5</definedName>
    <definedName name="Luxury2">'Data for Rough Cost'!$EH$2:$EH$5</definedName>
    <definedName name="Luxury3">'Data for Rough Cost'!$EI$2:$EI$5</definedName>
    <definedName name="Luxury4">'Data for Rough Cost'!$EJ$2:$EJ$5</definedName>
    <definedName name="Luxury5">'Data for Rough Cost'!$EK$2:$EK$5</definedName>
    <definedName name="Luxury6">'Data for Rough Cost'!$EL$2:$EL$5</definedName>
    <definedName name="Luxury7">'Data for Rough Cost'!$EM$2:$EM$5</definedName>
    <definedName name="Luxury8">'Data for Rough Cost'!$EN$2:$EN$5</definedName>
    <definedName name="Luxury9">'Data for Rough Cost'!$EO$2:$EO$5</definedName>
    <definedName name="_xlnm.Print_Area" localSheetId="0">'BUILDING 1'!$A$1:$R$221</definedName>
    <definedName name="_xlnm.Print_Area" localSheetId="1">'BUILDING 2'!$A$1:$R$220</definedName>
    <definedName name="_xlnm.Print_Area" localSheetId="2">'BUILDING 3'!$A$1:$R$202</definedName>
    <definedName name="_xlnm.Print_Area" localSheetId="3">'BUILDING 4'!$A$1:$R$112</definedName>
    <definedName name="_xlnm.Print_Area" localSheetId="4">'BUILDING 5'!$A$1:$R$112</definedName>
    <definedName name="_xlnm.Print_Area" localSheetId="5">'BUILDING 6'!$A$1:$R$112</definedName>
    <definedName name="_xlnm.Print_Area" localSheetId="6">'BUILDING 7'!$A$1:$R$112</definedName>
    <definedName name="_xlnm.Print_Area" localSheetId="7">'BUILDING 8'!$A$1:$R$220</definedName>
    <definedName name="_xlnm.Print_Area" localSheetId="13">'COST SUMMARY'!$A$1:$R$22</definedName>
    <definedName name="_xlnm.Print_Area" localSheetId="8">'MAIL KIKOSK'!$A$1:$R$87</definedName>
    <definedName name="_xlnm.Print_Area" localSheetId="9">'POOL HOUSE'!$A$1:$R$86</definedName>
    <definedName name="_xlnm.Print_Area" localSheetId="10">SITE!$A$1:$R$88</definedName>
    <definedName name="_xlnm.Print_Titles" localSheetId="0">'BUILDING 1'!$17:$17</definedName>
    <definedName name="_xlnm.Print_Titles" localSheetId="1">'BUILDING 2'!$17:$17</definedName>
    <definedName name="_xlnm.Print_Titles" localSheetId="2">'BUILDING 3'!$17:$17</definedName>
    <definedName name="_xlnm.Print_Titles" localSheetId="3">'BUILDING 4'!$17:$17</definedName>
    <definedName name="_xlnm.Print_Titles" localSheetId="4">'BUILDING 5'!$17:$17</definedName>
    <definedName name="_xlnm.Print_Titles" localSheetId="5">'BUILDING 6'!$17:$17</definedName>
    <definedName name="_xlnm.Print_Titles" localSheetId="6">'BUILDING 7'!$17:$17</definedName>
    <definedName name="_xlnm.Print_Titles" localSheetId="7">'BUILDING 8'!$17:$17</definedName>
    <definedName name="_xlnm.Print_Titles" localSheetId="8">'MAIL KIKOSK'!$17:$17</definedName>
    <definedName name="_xlnm.Print_Titles" localSheetId="9">'POOL HOUSE'!$17:$17</definedName>
    <definedName name="_xlnm.Print_Titles" localSheetId="10">SITE!$17:$17</definedName>
    <definedName name="Residential">'Data for Rough Cost'!$C$2:$C$5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3" i="36" l="1"/>
  <c r="G212" i="36"/>
  <c r="G211" i="36"/>
  <c r="G208" i="36"/>
  <c r="G207" i="36"/>
  <c r="G204" i="36"/>
  <c r="G201" i="36"/>
  <c r="G197" i="36"/>
  <c r="G196" i="36"/>
  <c r="G195" i="36"/>
  <c r="G192" i="36"/>
  <c r="G191" i="36"/>
  <c r="G188" i="36"/>
  <c r="G185" i="36"/>
  <c r="G181" i="36"/>
  <c r="G180" i="36"/>
  <c r="G179" i="36"/>
  <c r="G176" i="36"/>
  <c r="G175" i="36"/>
  <c r="G172" i="36"/>
  <c r="G169" i="36"/>
  <c r="G165" i="36"/>
  <c r="G164" i="36"/>
  <c r="G163" i="36"/>
  <c r="G160" i="36"/>
  <c r="G159" i="36"/>
  <c r="G156" i="36"/>
  <c r="G153" i="36"/>
  <c r="G149" i="36"/>
  <c r="G148" i="36"/>
  <c r="G147" i="36"/>
  <c r="G144" i="36"/>
  <c r="G143" i="36"/>
  <c r="G140" i="36"/>
  <c r="G137" i="36"/>
  <c r="G133" i="36"/>
  <c r="G132" i="36"/>
  <c r="G131" i="36"/>
  <c r="G128" i="36"/>
  <c r="G127" i="36"/>
  <c r="G124" i="36"/>
  <c r="G121" i="36"/>
  <c r="G105" i="42"/>
  <c r="G104" i="42"/>
  <c r="G101" i="42"/>
  <c r="G100" i="42"/>
  <c r="G97" i="42"/>
  <c r="G94" i="42"/>
  <c r="H105" i="42"/>
  <c r="G105" i="41"/>
  <c r="G104" i="41"/>
  <c r="G101" i="41"/>
  <c r="G100" i="41"/>
  <c r="G97" i="41"/>
  <c r="G94" i="41"/>
  <c r="H105" i="41"/>
  <c r="I105" i="41" s="1"/>
  <c r="G105" i="40"/>
  <c r="G104" i="40"/>
  <c r="G101" i="40"/>
  <c r="G100" i="40"/>
  <c r="G97" i="40"/>
  <c r="G94" i="40"/>
  <c r="H105" i="40"/>
  <c r="G105" i="35"/>
  <c r="G104" i="35"/>
  <c r="G101" i="35"/>
  <c r="G100" i="35"/>
  <c r="G97" i="35"/>
  <c r="G94" i="35"/>
  <c r="H105" i="35"/>
  <c r="I105" i="35" s="1"/>
  <c r="G195" i="34"/>
  <c r="H195" i="34"/>
  <c r="I195" i="34" s="1"/>
  <c r="G194" i="34"/>
  <c r="G191" i="34"/>
  <c r="G190" i="34"/>
  <c r="G187" i="34"/>
  <c r="G184" i="34"/>
  <c r="G180" i="34"/>
  <c r="G179" i="34"/>
  <c r="G178" i="34"/>
  <c r="G175" i="34"/>
  <c r="G174" i="34"/>
  <c r="G171" i="34"/>
  <c r="G168" i="34"/>
  <c r="G164" i="34"/>
  <c r="G163" i="34"/>
  <c r="G162" i="34"/>
  <c r="G159" i="34"/>
  <c r="G158" i="34"/>
  <c r="G155" i="34"/>
  <c r="G152" i="34"/>
  <c r="G148" i="34"/>
  <c r="G147" i="34"/>
  <c r="G146" i="34"/>
  <c r="G143" i="34"/>
  <c r="G142" i="34"/>
  <c r="G139" i="34"/>
  <c r="G136" i="34"/>
  <c r="G132" i="34"/>
  <c r="G131" i="34"/>
  <c r="G130" i="34"/>
  <c r="G127" i="34"/>
  <c r="G126" i="34"/>
  <c r="G123" i="34"/>
  <c r="G120" i="34"/>
  <c r="G116" i="34"/>
  <c r="G115" i="34"/>
  <c r="G114" i="34"/>
  <c r="G111" i="34"/>
  <c r="G110" i="34"/>
  <c r="G107" i="34"/>
  <c r="G104" i="34"/>
  <c r="G213" i="33"/>
  <c r="G212" i="33"/>
  <c r="G211" i="33"/>
  <c r="G208" i="33"/>
  <c r="G207" i="33"/>
  <c r="G204" i="33"/>
  <c r="G201" i="33"/>
  <c r="G197" i="33"/>
  <c r="G196" i="33"/>
  <c r="G195" i="33"/>
  <c r="G192" i="33"/>
  <c r="G191" i="33"/>
  <c r="G188" i="33"/>
  <c r="G185" i="33"/>
  <c r="G181" i="33"/>
  <c r="G180" i="33"/>
  <c r="G179" i="33"/>
  <c r="G176" i="33"/>
  <c r="G175" i="33"/>
  <c r="G172" i="33"/>
  <c r="G169" i="33"/>
  <c r="G165" i="33"/>
  <c r="G164" i="33"/>
  <c r="G163" i="33"/>
  <c r="G160" i="33"/>
  <c r="G159" i="33"/>
  <c r="G156" i="33"/>
  <c r="G153" i="33"/>
  <c r="G149" i="33"/>
  <c r="G148" i="33"/>
  <c r="G147" i="33"/>
  <c r="G144" i="33"/>
  <c r="G143" i="33"/>
  <c r="G140" i="33"/>
  <c r="G137" i="33"/>
  <c r="G133" i="33"/>
  <c r="G132" i="33"/>
  <c r="G131" i="33"/>
  <c r="G128" i="33"/>
  <c r="G127" i="33"/>
  <c r="G124" i="33"/>
  <c r="G121" i="33"/>
  <c r="G117" i="33"/>
  <c r="G115" i="33"/>
  <c r="G116" i="33"/>
  <c r="G112" i="33"/>
  <c r="G111" i="33"/>
  <c r="G108" i="33"/>
  <c r="G105" i="33"/>
  <c r="G214" i="26"/>
  <c r="G213" i="26"/>
  <c r="G209" i="26"/>
  <c r="G208" i="26"/>
  <c r="G205" i="26"/>
  <c r="G202" i="26"/>
  <c r="G198" i="26"/>
  <c r="G197" i="26"/>
  <c r="G196" i="26"/>
  <c r="G193" i="26"/>
  <c r="G192" i="26"/>
  <c r="G189" i="26"/>
  <c r="G186" i="26"/>
  <c r="G182" i="26"/>
  <c r="G181" i="26"/>
  <c r="G177" i="26"/>
  <c r="G176" i="26"/>
  <c r="G173" i="26"/>
  <c r="G170" i="26"/>
  <c r="G166" i="26"/>
  <c r="G165" i="26"/>
  <c r="G164" i="26"/>
  <c r="G161" i="26"/>
  <c r="G160" i="26"/>
  <c r="G157" i="26"/>
  <c r="G154" i="26"/>
  <c r="G150" i="26"/>
  <c r="G149" i="26"/>
  <c r="G145" i="26"/>
  <c r="G144" i="26"/>
  <c r="G141" i="26"/>
  <c r="G138" i="26"/>
  <c r="G134" i="26"/>
  <c r="G133" i="26"/>
  <c r="G132" i="26"/>
  <c r="G129" i="26"/>
  <c r="G128" i="26"/>
  <c r="G125" i="26"/>
  <c r="G122" i="26"/>
  <c r="I105" i="42" l="1"/>
  <c r="I105" i="40"/>
  <c r="K65" i="39"/>
  <c r="K44" i="39"/>
  <c r="K36" i="39"/>
  <c r="K34" i="39"/>
  <c r="K27" i="39"/>
  <c r="D19" i="12" l="1"/>
  <c r="D18" i="12"/>
  <c r="M116" i="36" l="1"/>
  <c r="I116" i="36"/>
  <c r="G115" i="36"/>
  <c r="I115" i="36" s="1"/>
  <c r="P115" i="36" s="1"/>
  <c r="G114" i="36"/>
  <c r="I114" i="36" s="1"/>
  <c r="P114" i="36" s="1"/>
  <c r="G113" i="36"/>
  <c r="I113" i="36" s="1"/>
  <c r="P113" i="36" s="1"/>
  <c r="M110" i="36"/>
  <c r="I110" i="36"/>
  <c r="P110" i="36" s="1"/>
  <c r="M108" i="36"/>
  <c r="I108" i="36"/>
  <c r="P108" i="36" s="1"/>
  <c r="M111" i="36"/>
  <c r="I111" i="36"/>
  <c r="P111" i="36" s="1"/>
  <c r="M109" i="36"/>
  <c r="I109" i="36"/>
  <c r="P109" i="36" s="1"/>
  <c r="G107" i="36"/>
  <c r="I107" i="36" s="1"/>
  <c r="P107" i="36" s="1"/>
  <c r="M113" i="36"/>
  <c r="M115" i="36"/>
  <c r="M114" i="36"/>
  <c r="M112" i="36"/>
  <c r="I112" i="36"/>
  <c r="P112" i="36" s="1"/>
  <c r="M107" i="36"/>
  <c r="M111" i="42"/>
  <c r="M110" i="42"/>
  <c r="M109" i="42"/>
  <c r="M108" i="42"/>
  <c r="A106" i="42"/>
  <c r="M105" i="42"/>
  <c r="M104" i="42"/>
  <c r="A103" i="42"/>
  <c r="M101" i="42"/>
  <c r="M100" i="42"/>
  <c r="A99" i="42"/>
  <c r="M97" i="42"/>
  <c r="A96" i="42"/>
  <c r="M94" i="42"/>
  <c r="A93" i="42"/>
  <c r="A91" i="42"/>
  <c r="A90" i="42"/>
  <c r="M89" i="42"/>
  <c r="I89" i="42"/>
  <c r="P89" i="42" s="1"/>
  <c r="M88" i="42"/>
  <c r="I88" i="42"/>
  <c r="P88" i="42" s="1"/>
  <c r="P87" i="42"/>
  <c r="M87" i="42"/>
  <c r="I87" i="42"/>
  <c r="L87" i="42" s="1"/>
  <c r="M86" i="42"/>
  <c r="I86" i="42"/>
  <c r="L86" i="42" s="1"/>
  <c r="A85" i="42"/>
  <c r="M83" i="42"/>
  <c r="M82" i="42"/>
  <c r="G82" i="42"/>
  <c r="M81" i="42"/>
  <c r="A80" i="42"/>
  <c r="M78" i="42"/>
  <c r="A77" i="42"/>
  <c r="M75" i="42"/>
  <c r="A74" i="42"/>
  <c r="A73" i="42"/>
  <c r="M72" i="42"/>
  <c r="A71" i="42"/>
  <c r="A70" i="42"/>
  <c r="A69" i="42"/>
  <c r="A68" i="42"/>
  <c r="A67" i="42"/>
  <c r="A66" i="42"/>
  <c r="M65" i="42"/>
  <c r="A64" i="42"/>
  <c r="A63" i="42"/>
  <c r="M62" i="42"/>
  <c r="M61" i="42"/>
  <c r="M60" i="42"/>
  <c r="A59" i="42"/>
  <c r="A58" i="42"/>
  <c r="M57" i="42"/>
  <c r="M56" i="42"/>
  <c r="M55" i="42"/>
  <c r="M54" i="42"/>
  <c r="A53" i="42"/>
  <c r="A52" i="42"/>
  <c r="M51" i="42"/>
  <c r="M50" i="42"/>
  <c r="M49" i="42"/>
  <c r="M48" i="42"/>
  <c r="M47" i="42"/>
  <c r="A46" i="42"/>
  <c r="A45" i="42"/>
  <c r="M44" i="42"/>
  <c r="M43" i="42"/>
  <c r="M42" i="42"/>
  <c r="M41" i="42"/>
  <c r="M40" i="42"/>
  <c r="M39" i="42"/>
  <c r="A38" i="42"/>
  <c r="A37" i="42"/>
  <c r="M36" i="42"/>
  <c r="M35" i="42"/>
  <c r="M34" i="42"/>
  <c r="A33" i="42"/>
  <c r="A32" i="42"/>
  <c r="M31" i="42"/>
  <c r="M30" i="42"/>
  <c r="M29" i="42"/>
  <c r="M28" i="42"/>
  <c r="M27" i="42"/>
  <c r="M26" i="42"/>
  <c r="M25" i="42"/>
  <c r="M24" i="42"/>
  <c r="M23" i="42"/>
  <c r="M22" i="42"/>
  <c r="A22" i="42"/>
  <c r="M21" i="42"/>
  <c r="A21" i="42"/>
  <c r="M111" i="41"/>
  <c r="M110" i="41"/>
  <c r="M109" i="41"/>
  <c r="M108" i="41"/>
  <c r="A106" i="41"/>
  <c r="M105" i="41"/>
  <c r="M104" i="41"/>
  <c r="A103" i="41"/>
  <c r="M101" i="41"/>
  <c r="M100" i="41"/>
  <c r="A99" i="41"/>
  <c r="M97" i="41"/>
  <c r="A96" i="41"/>
  <c r="M94" i="41"/>
  <c r="A93" i="41"/>
  <c r="A91" i="41"/>
  <c r="A90" i="41"/>
  <c r="M89" i="41"/>
  <c r="I89" i="41"/>
  <c r="P89" i="41" s="1"/>
  <c r="M88" i="41"/>
  <c r="I88" i="41"/>
  <c r="P88" i="41" s="1"/>
  <c r="M87" i="41"/>
  <c r="I87" i="41"/>
  <c r="P87" i="41" s="1"/>
  <c r="M86" i="41"/>
  <c r="N86" i="41" s="1"/>
  <c r="I86" i="41"/>
  <c r="L86" i="41" s="1"/>
  <c r="A85" i="41"/>
  <c r="M83" i="41"/>
  <c r="M82" i="41"/>
  <c r="G82" i="41"/>
  <c r="M81" i="41"/>
  <c r="A80" i="41"/>
  <c r="M78" i="41"/>
  <c r="A77" i="41"/>
  <c r="M75" i="41"/>
  <c r="A74" i="41"/>
  <c r="A73" i="41"/>
  <c r="M72" i="41"/>
  <c r="A71" i="41"/>
  <c r="A70" i="41"/>
  <c r="A69" i="41"/>
  <c r="A68" i="41"/>
  <c r="A67" i="41"/>
  <c r="A66" i="41"/>
  <c r="M65" i="41"/>
  <c r="A64" i="41"/>
  <c r="A63" i="41"/>
  <c r="M62" i="41"/>
  <c r="M61" i="41"/>
  <c r="M60" i="41"/>
  <c r="A59" i="41"/>
  <c r="A58" i="41"/>
  <c r="M57" i="41"/>
  <c r="M56" i="41"/>
  <c r="M55" i="41"/>
  <c r="M54" i="41"/>
  <c r="A53" i="41"/>
  <c r="A52" i="41"/>
  <c r="M51" i="41"/>
  <c r="M50" i="41"/>
  <c r="M49" i="41"/>
  <c r="M48" i="41"/>
  <c r="M47" i="41"/>
  <c r="A46" i="41"/>
  <c r="A45" i="41"/>
  <c r="M44" i="41"/>
  <c r="M43" i="41"/>
  <c r="M42" i="41"/>
  <c r="M41" i="41"/>
  <c r="M40" i="41"/>
  <c r="M39" i="41"/>
  <c r="A38" i="41"/>
  <c r="A37" i="41"/>
  <c r="M36" i="41"/>
  <c r="M35" i="41"/>
  <c r="M34" i="41"/>
  <c r="A33" i="41"/>
  <c r="A32" i="41"/>
  <c r="M31" i="41"/>
  <c r="M30" i="41"/>
  <c r="M29" i="41"/>
  <c r="M28" i="41"/>
  <c r="M27" i="41"/>
  <c r="M26" i="41"/>
  <c r="M25" i="41"/>
  <c r="M24" i="41"/>
  <c r="M23" i="41"/>
  <c r="M22" i="41"/>
  <c r="M21" i="41"/>
  <c r="A21" i="41"/>
  <c r="A22" i="41" s="1"/>
  <c r="M111" i="40"/>
  <c r="M110" i="40"/>
  <c r="M109" i="40"/>
  <c r="M108" i="40"/>
  <c r="A106" i="40"/>
  <c r="M105" i="40"/>
  <c r="M104" i="40"/>
  <c r="A103" i="40"/>
  <c r="M101" i="40"/>
  <c r="M100" i="40"/>
  <c r="A99" i="40"/>
  <c r="M97" i="40"/>
  <c r="A96" i="40"/>
  <c r="M94" i="40"/>
  <c r="A93" i="40"/>
  <c r="A91" i="40"/>
  <c r="A90" i="40"/>
  <c r="M89" i="40"/>
  <c r="I89" i="40"/>
  <c r="L89" i="40" s="1"/>
  <c r="M88" i="40"/>
  <c r="I88" i="40"/>
  <c r="P88" i="40" s="1"/>
  <c r="P87" i="40"/>
  <c r="M87" i="40"/>
  <c r="L87" i="40"/>
  <c r="I87" i="40"/>
  <c r="M86" i="40"/>
  <c r="I86" i="40"/>
  <c r="L86" i="40" s="1"/>
  <c r="A85" i="40"/>
  <c r="M83" i="40"/>
  <c r="M82" i="40"/>
  <c r="G82" i="40"/>
  <c r="M81" i="40"/>
  <c r="A80" i="40"/>
  <c r="M78" i="40"/>
  <c r="A77" i="40"/>
  <c r="M75" i="40"/>
  <c r="A74" i="40"/>
  <c r="A73" i="40"/>
  <c r="M72" i="40"/>
  <c r="A71" i="40"/>
  <c r="A70" i="40"/>
  <c r="A69" i="40"/>
  <c r="A68" i="40"/>
  <c r="A67" i="40"/>
  <c r="A66" i="40"/>
  <c r="M65" i="40"/>
  <c r="A64" i="40"/>
  <c r="A63" i="40"/>
  <c r="M62" i="40"/>
  <c r="M61" i="40"/>
  <c r="M60" i="40"/>
  <c r="A59" i="40"/>
  <c r="A58" i="40"/>
  <c r="M57" i="40"/>
  <c r="M56" i="40"/>
  <c r="M55" i="40"/>
  <c r="M54" i="40"/>
  <c r="A53" i="40"/>
  <c r="A52" i="40"/>
  <c r="M51" i="40"/>
  <c r="M50" i="40"/>
  <c r="M49" i="40"/>
  <c r="M48" i="40"/>
  <c r="M47" i="40"/>
  <c r="A46" i="40"/>
  <c r="A45" i="40"/>
  <c r="M44" i="40"/>
  <c r="M43" i="40"/>
  <c r="M42" i="40"/>
  <c r="M41" i="40"/>
  <c r="M40" i="40"/>
  <c r="M39" i="40"/>
  <c r="A38" i="40"/>
  <c r="A37" i="40"/>
  <c r="M36" i="40"/>
  <c r="M35" i="40"/>
  <c r="M34" i="40"/>
  <c r="A33" i="40"/>
  <c r="A32" i="40"/>
  <c r="M31" i="40"/>
  <c r="M30" i="40"/>
  <c r="M29" i="40"/>
  <c r="M28" i="40"/>
  <c r="M27" i="40"/>
  <c r="M26" i="40"/>
  <c r="M25" i="40"/>
  <c r="M24" i="40"/>
  <c r="M23" i="40"/>
  <c r="M22" i="40"/>
  <c r="M21" i="40"/>
  <c r="A21" i="40"/>
  <c r="M89" i="35"/>
  <c r="I89" i="35"/>
  <c r="P89" i="35" s="1"/>
  <c r="M88" i="35"/>
  <c r="I88" i="35"/>
  <c r="P88" i="35" s="1"/>
  <c r="M87" i="35"/>
  <c r="I87" i="35"/>
  <c r="L87" i="35" s="1"/>
  <c r="M86" i="35"/>
  <c r="I86" i="35"/>
  <c r="P86" i="35" s="1"/>
  <c r="M99" i="34"/>
  <c r="I99" i="34"/>
  <c r="P99" i="34" s="1"/>
  <c r="M96" i="34"/>
  <c r="I96" i="34"/>
  <c r="P96" i="34" s="1"/>
  <c r="M98" i="34"/>
  <c r="I98" i="34"/>
  <c r="M97" i="34"/>
  <c r="I97" i="34"/>
  <c r="M95" i="34"/>
  <c r="I95" i="34"/>
  <c r="L95" i="34" s="1"/>
  <c r="M94" i="34"/>
  <c r="I94" i="34"/>
  <c r="P94" i="34" s="1"/>
  <c r="G100" i="33"/>
  <c r="I100" i="33" s="1"/>
  <c r="P100" i="33" s="1"/>
  <c r="G99" i="33"/>
  <c r="M95" i="33"/>
  <c r="I95" i="33"/>
  <c r="P95" i="33" s="1"/>
  <c r="I94" i="33"/>
  <c r="P94" i="33" s="1"/>
  <c r="M100" i="33"/>
  <c r="M99" i="33"/>
  <c r="I99" i="33"/>
  <c r="M98" i="33"/>
  <c r="I98" i="33"/>
  <c r="P98" i="33" s="1"/>
  <c r="M97" i="33"/>
  <c r="I97" i="33"/>
  <c r="P97" i="33" s="1"/>
  <c r="M96" i="33"/>
  <c r="I96" i="33"/>
  <c r="P96" i="33" s="1"/>
  <c r="M94" i="33"/>
  <c r="G100" i="26"/>
  <c r="I100" i="26" s="1"/>
  <c r="L100" i="26" s="1"/>
  <c r="G101" i="26"/>
  <c r="M100" i="26"/>
  <c r="M99" i="26"/>
  <c r="I99" i="26"/>
  <c r="L99" i="26" s="1"/>
  <c r="M98" i="26"/>
  <c r="I98" i="26"/>
  <c r="L98" i="26" s="1"/>
  <c r="M95" i="26"/>
  <c r="I95" i="26"/>
  <c r="P95" i="26" s="1"/>
  <c r="G100" i="36"/>
  <c r="G99" i="36" s="1"/>
  <c r="M100" i="36"/>
  <c r="M99" i="36"/>
  <c r="M98" i="36"/>
  <c r="A97" i="36"/>
  <c r="M83" i="35"/>
  <c r="M82" i="35"/>
  <c r="G82" i="35"/>
  <c r="M81" i="35"/>
  <c r="A80" i="35"/>
  <c r="M91" i="34"/>
  <c r="M90" i="34"/>
  <c r="G90" i="34"/>
  <c r="M89" i="34"/>
  <c r="A88" i="34"/>
  <c r="G90" i="33"/>
  <c r="M91" i="33"/>
  <c r="M90" i="33"/>
  <c r="M89" i="33"/>
  <c r="A88" i="33"/>
  <c r="G91" i="26"/>
  <c r="M92" i="26"/>
  <c r="M91" i="26"/>
  <c r="M90" i="26"/>
  <c r="A89" i="26"/>
  <c r="G88" i="36"/>
  <c r="M133" i="36"/>
  <c r="M132" i="36"/>
  <c r="M131" i="36"/>
  <c r="A130" i="36"/>
  <c r="M128" i="36"/>
  <c r="M127" i="36"/>
  <c r="A126" i="36"/>
  <c r="M124" i="36"/>
  <c r="A123" i="36"/>
  <c r="M121" i="36"/>
  <c r="A120" i="36"/>
  <c r="N87" i="42" l="1"/>
  <c r="A23" i="42"/>
  <c r="Q87" i="42"/>
  <c r="L89" i="42"/>
  <c r="A23" i="41"/>
  <c r="N86" i="42"/>
  <c r="N87" i="40"/>
  <c r="S87" i="40" s="1"/>
  <c r="T87" i="40" s="1"/>
  <c r="N86" i="40"/>
  <c r="S87" i="42"/>
  <c r="T87" i="42" s="1"/>
  <c r="P86" i="41"/>
  <c r="S86" i="41" s="1"/>
  <c r="T86" i="41" s="1"/>
  <c r="P86" i="42"/>
  <c r="S86" i="42" s="1"/>
  <c r="T86" i="42" s="1"/>
  <c r="P86" i="40"/>
  <c r="Q86" i="40" s="1"/>
  <c r="L87" i="41"/>
  <c r="N87" i="41" s="1"/>
  <c r="S87" i="41" s="1"/>
  <c r="T87" i="41" s="1"/>
  <c r="L89" i="41"/>
  <c r="N89" i="41" s="1"/>
  <c r="P89" i="40"/>
  <c r="N89" i="42"/>
  <c r="S89" i="42" s="1"/>
  <c r="T89" i="42" s="1"/>
  <c r="P116" i="36"/>
  <c r="L116" i="36"/>
  <c r="N116" i="36" s="1"/>
  <c r="S116" i="36" s="1"/>
  <c r="T116" i="36" s="1"/>
  <c r="L110" i="36"/>
  <c r="N110" i="36" s="1"/>
  <c r="L108" i="36"/>
  <c r="N108" i="36" s="1"/>
  <c r="L111" i="36"/>
  <c r="N111" i="36" s="1"/>
  <c r="S111" i="36" s="1"/>
  <c r="T111" i="36" s="1"/>
  <c r="L109" i="36"/>
  <c r="N109" i="36" s="1"/>
  <c r="S109" i="36" s="1"/>
  <c r="T109" i="36" s="1"/>
  <c r="L113" i="36"/>
  <c r="N113" i="36" s="1"/>
  <c r="L114" i="36"/>
  <c r="N114" i="36" s="1"/>
  <c r="S114" i="36" s="1"/>
  <c r="T114" i="36" s="1"/>
  <c r="L112" i="36"/>
  <c r="N112" i="36" s="1"/>
  <c r="S112" i="36" s="1"/>
  <c r="T112" i="36" s="1"/>
  <c r="L107" i="36"/>
  <c r="N107" i="36" s="1"/>
  <c r="L115" i="36"/>
  <c r="N115" i="36" s="1"/>
  <c r="S115" i="36" s="1"/>
  <c r="T115" i="36" s="1"/>
  <c r="A24" i="42"/>
  <c r="L88" i="42"/>
  <c r="N88" i="42" s="1"/>
  <c r="A24" i="41"/>
  <c r="A25" i="41" s="1"/>
  <c r="L88" i="41"/>
  <c r="N88" i="41" s="1"/>
  <c r="N89" i="40"/>
  <c r="L88" i="40"/>
  <c r="N88" i="40" s="1"/>
  <c r="A22" i="40"/>
  <c r="P87" i="35"/>
  <c r="L88" i="35"/>
  <c r="N88" i="35" s="1"/>
  <c r="S88" i="35" s="1"/>
  <c r="T88" i="35" s="1"/>
  <c r="L89" i="35"/>
  <c r="N89" i="35" s="1"/>
  <c r="L86" i="35"/>
  <c r="N86" i="35" s="1"/>
  <c r="S86" i="35" s="1"/>
  <c r="T86" i="35" s="1"/>
  <c r="N87" i="35"/>
  <c r="L99" i="34"/>
  <c r="N99" i="34" s="1"/>
  <c r="S99" i="34" s="1"/>
  <c r="T99" i="34" s="1"/>
  <c r="L96" i="34"/>
  <c r="N96" i="34" s="1"/>
  <c r="P95" i="34"/>
  <c r="P97" i="34"/>
  <c r="L97" i="34"/>
  <c r="N97" i="34" s="1"/>
  <c r="N95" i="34"/>
  <c r="P98" i="34"/>
  <c r="L98" i="34"/>
  <c r="N98" i="34" s="1"/>
  <c r="L94" i="34"/>
  <c r="N94" i="34" s="1"/>
  <c r="L95" i="33"/>
  <c r="N95" i="33" s="1"/>
  <c r="L96" i="33"/>
  <c r="N96" i="33" s="1"/>
  <c r="P99" i="33"/>
  <c r="L99" i="33"/>
  <c r="N99" i="33" s="1"/>
  <c r="L94" i="33"/>
  <c r="N94" i="33" s="1"/>
  <c r="L100" i="33"/>
  <c r="N100" i="33" s="1"/>
  <c r="L97" i="33"/>
  <c r="N97" i="33" s="1"/>
  <c r="L98" i="33"/>
  <c r="N98" i="33" s="1"/>
  <c r="S98" i="33" s="1"/>
  <c r="T98" i="33" s="1"/>
  <c r="N100" i="26"/>
  <c r="P100" i="26"/>
  <c r="N99" i="26"/>
  <c r="P99" i="26"/>
  <c r="P98" i="26"/>
  <c r="N98" i="26"/>
  <c r="L95" i="26"/>
  <c r="N95" i="26" s="1"/>
  <c r="A69" i="39"/>
  <c r="A70" i="39"/>
  <c r="A77" i="39"/>
  <c r="A78" i="39"/>
  <c r="M80" i="39"/>
  <c r="I80" i="39"/>
  <c r="P80" i="39" s="1"/>
  <c r="M75" i="39"/>
  <c r="I75" i="39"/>
  <c r="P75" i="39" s="1"/>
  <c r="M72" i="39"/>
  <c r="I72" i="39"/>
  <c r="P72" i="39" s="1"/>
  <c r="M87" i="39"/>
  <c r="M86" i="39"/>
  <c r="M85" i="39"/>
  <c r="M84" i="39"/>
  <c r="A82" i="39"/>
  <c r="M81" i="39"/>
  <c r="I81" i="39"/>
  <c r="P81" i="39" s="1"/>
  <c r="M79" i="39"/>
  <c r="I79" i="39"/>
  <c r="M76" i="39"/>
  <c r="I76" i="39"/>
  <c r="L76" i="39" s="1"/>
  <c r="M74" i="39"/>
  <c r="I74" i="39"/>
  <c r="P74" i="39" s="1"/>
  <c r="M73" i="39"/>
  <c r="I73" i="39"/>
  <c r="M71" i="39"/>
  <c r="I71" i="39"/>
  <c r="P71" i="39" s="1"/>
  <c r="A68" i="39"/>
  <c r="A67" i="39"/>
  <c r="A66" i="39"/>
  <c r="M65" i="39"/>
  <c r="A64" i="39"/>
  <c r="A63" i="39"/>
  <c r="M62" i="39"/>
  <c r="M61" i="39"/>
  <c r="M60" i="39"/>
  <c r="A59" i="39"/>
  <c r="A58" i="39"/>
  <c r="M57" i="39"/>
  <c r="M56" i="39"/>
  <c r="M55" i="39"/>
  <c r="M54" i="39"/>
  <c r="A53" i="39"/>
  <c r="A52" i="39"/>
  <c r="M51" i="39"/>
  <c r="M50" i="39"/>
  <c r="M49" i="39"/>
  <c r="M48" i="39"/>
  <c r="M47" i="39"/>
  <c r="A46" i="39"/>
  <c r="A45" i="39"/>
  <c r="M44" i="39"/>
  <c r="M43" i="39"/>
  <c r="M42" i="39"/>
  <c r="M41" i="39"/>
  <c r="M40" i="39"/>
  <c r="M39" i="39"/>
  <c r="A38" i="39"/>
  <c r="A37" i="39"/>
  <c r="M36" i="39"/>
  <c r="M35" i="39"/>
  <c r="M34" i="39"/>
  <c r="A33" i="39"/>
  <c r="A32" i="39"/>
  <c r="M31" i="39"/>
  <c r="M30" i="39"/>
  <c r="M29" i="39"/>
  <c r="M28" i="39"/>
  <c r="M27" i="39"/>
  <c r="M26" i="39"/>
  <c r="M25" i="39"/>
  <c r="M24" i="39"/>
  <c r="M23" i="39"/>
  <c r="M22" i="39"/>
  <c r="M21" i="39"/>
  <c r="A21" i="39"/>
  <c r="A22" i="39" s="1"/>
  <c r="G76" i="38"/>
  <c r="I76" i="38"/>
  <c r="M77" i="38"/>
  <c r="I77" i="38"/>
  <c r="P77" i="38" s="1"/>
  <c r="G75" i="38"/>
  <c r="I75" i="38" s="1"/>
  <c r="P75" i="38" s="1"/>
  <c r="M78" i="38"/>
  <c r="I78" i="38"/>
  <c r="P78" i="38" s="1"/>
  <c r="M85" i="38"/>
  <c r="M84" i="38"/>
  <c r="M83" i="38"/>
  <c r="M82" i="38"/>
  <c r="A80" i="38"/>
  <c r="M79" i="38"/>
  <c r="I79" i="38"/>
  <c r="P79" i="38" s="1"/>
  <c r="M76" i="38"/>
  <c r="M75" i="38"/>
  <c r="A74" i="38"/>
  <c r="M72" i="38"/>
  <c r="M71" i="38"/>
  <c r="A70" i="38"/>
  <c r="A69" i="38"/>
  <c r="A68" i="38"/>
  <c r="A67" i="38"/>
  <c r="A66" i="38"/>
  <c r="M65" i="38"/>
  <c r="A64" i="38"/>
  <c r="A63" i="38"/>
  <c r="M62" i="38"/>
  <c r="M61" i="38"/>
  <c r="M60" i="38"/>
  <c r="A59" i="38"/>
  <c r="A58" i="38"/>
  <c r="M57" i="38"/>
  <c r="M56" i="38"/>
  <c r="M55" i="38"/>
  <c r="M54" i="38"/>
  <c r="A53" i="38"/>
  <c r="A52" i="38"/>
  <c r="M51" i="38"/>
  <c r="M50" i="38"/>
  <c r="M49" i="38"/>
  <c r="M48" i="38"/>
  <c r="M47" i="38"/>
  <c r="A46" i="38"/>
  <c r="A45" i="38"/>
  <c r="M44" i="38"/>
  <c r="M43" i="38"/>
  <c r="M42" i="38"/>
  <c r="M41" i="38"/>
  <c r="M40" i="38"/>
  <c r="M39" i="38"/>
  <c r="A38" i="38"/>
  <c r="A37" i="38"/>
  <c r="M36" i="38"/>
  <c r="M35" i="38"/>
  <c r="M34" i="38"/>
  <c r="A33" i="38"/>
  <c r="A32" i="38"/>
  <c r="M31" i="38"/>
  <c r="M30" i="38"/>
  <c r="M29" i="38"/>
  <c r="M28" i="38"/>
  <c r="M27" i="38"/>
  <c r="M26" i="38"/>
  <c r="M25" i="38"/>
  <c r="M24" i="38"/>
  <c r="M23" i="38"/>
  <c r="M22" i="38"/>
  <c r="M21" i="38"/>
  <c r="A21" i="38"/>
  <c r="G79" i="37"/>
  <c r="I79" i="37" s="1"/>
  <c r="L79" i="37" s="1"/>
  <c r="M86" i="37"/>
  <c r="M85" i="37"/>
  <c r="M84" i="37"/>
  <c r="M83" i="37"/>
  <c r="A81" i="37"/>
  <c r="M80" i="37"/>
  <c r="I80" i="37"/>
  <c r="M79" i="37"/>
  <c r="M78" i="37"/>
  <c r="I78" i="37"/>
  <c r="P78" i="37" s="1"/>
  <c r="A77" i="37"/>
  <c r="M75" i="37"/>
  <c r="M74" i="37"/>
  <c r="A73" i="37"/>
  <c r="M71" i="37"/>
  <c r="A70" i="37"/>
  <c r="A69" i="37"/>
  <c r="A68" i="37"/>
  <c r="A67" i="37"/>
  <c r="A66" i="37"/>
  <c r="M65" i="37"/>
  <c r="A64" i="37"/>
  <c r="A63" i="37"/>
  <c r="M62" i="37"/>
  <c r="M61" i="37"/>
  <c r="M60" i="37"/>
  <c r="A59" i="37"/>
  <c r="A58" i="37"/>
  <c r="M57" i="37"/>
  <c r="M56" i="37"/>
  <c r="M55" i="37"/>
  <c r="M54" i="37"/>
  <c r="A53" i="37"/>
  <c r="A52" i="37"/>
  <c r="M51" i="37"/>
  <c r="M50" i="37"/>
  <c r="M49" i="37"/>
  <c r="M48" i="37"/>
  <c r="M47" i="37"/>
  <c r="A46" i="37"/>
  <c r="A45" i="37"/>
  <c r="M44" i="37"/>
  <c r="M43" i="37"/>
  <c r="M42" i="37"/>
  <c r="M41" i="37"/>
  <c r="M40" i="37"/>
  <c r="M39" i="37"/>
  <c r="A38" i="37"/>
  <c r="A37" i="37"/>
  <c r="M36" i="37"/>
  <c r="M35" i="37"/>
  <c r="M34" i="37"/>
  <c r="A33" i="37"/>
  <c r="A32" i="37"/>
  <c r="M31" i="37"/>
  <c r="M30" i="37"/>
  <c r="M29" i="37"/>
  <c r="M28" i="37"/>
  <c r="M27" i="37"/>
  <c r="M26" i="37"/>
  <c r="M25" i="37"/>
  <c r="M24" i="37"/>
  <c r="M23" i="37"/>
  <c r="M22" i="37"/>
  <c r="M21" i="37"/>
  <c r="A21" i="37"/>
  <c r="M95" i="36"/>
  <c r="M94" i="36"/>
  <c r="M92" i="36"/>
  <c r="M91" i="36"/>
  <c r="M90" i="36"/>
  <c r="M89" i="36"/>
  <c r="M88" i="36"/>
  <c r="M197" i="36"/>
  <c r="M196" i="36"/>
  <c r="M195" i="36"/>
  <c r="A194" i="36"/>
  <c r="M192" i="36"/>
  <c r="M191" i="36"/>
  <c r="A190" i="36"/>
  <c r="M188" i="36"/>
  <c r="A187" i="36"/>
  <c r="M185" i="36"/>
  <c r="A184" i="36"/>
  <c r="M219" i="36"/>
  <c r="M218" i="36"/>
  <c r="M217" i="36"/>
  <c r="M216" i="36"/>
  <c r="A214" i="36"/>
  <c r="M213" i="36"/>
  <c r="M212" i="36"/>
  <c r="M211" i="36"/>
  <c r="A210" i="36"/>
  <c r="M208" i="36"/>
  <c r="M207" i="36"/>
  <c r="A206" i="36"/>
  <c r="M204" i="36"/>
  <c r="A203" i="36"/>
  <c r="M201" i="36"/>
  <c r="A200" i="36"/>
  <c r="M181" i="36"/>
  <c r="M180" i="36"/>
  <c r="M179" i="36"/>
  <c r="A178" i="36"/>
  <c r="M176" i="36"/>
  <c r="M175" i="36"/>
  <c r="A174" i="36"/>
  <c r="M172" i="36"/>
  <c r="A171" i="36"/>
  <c r="M169" i="36"/>
  <c r="A168" i="36"/>
  <c r="M165" i="36"/>
  <c r="M164" i="36"/>
  <c r="M163" i="36"/>
  <c r="A162" i="36"/>
  <c r="M160" i="36"/>
  <c r="M159" i="36"/>
  <c r="A158" i="36"/>
  <c r="M156" i="36"/>
  <c r="A155" i="36"/>
  <c r="M153" i="36"/>
  <c r="A152" i="36"/>
  <c r="M149" i="36"/>
  <c r="M148" i="36"/>
  <c r="M147" i="36"/>
  <c r="A146" i="36"/>
  <c r="M144" i="36"/>
  <c r="M143" i="36"/>
  <c r="A142" i="36"/>
  <c r="M140" i="36"/>
  <c r="A139" i="36"/>
  <c r="M137" i="36"/>
  <c r="A136" i="36"/>
  <c r="A118" i="36"/>
  <c r="A117" i="36"/>
  <c r="A106" i="36"/>
  <c r="M104" i="36"/>
  <c r="M103" i="36"/>
  <c r="A102" i="36"/>
  <c r="M93" i="36"/>
  <c r="M87" i="36"/>
  <c r="A86" i="36"/>
  <c r="M84" i="36"/>
  <c r="M83" i="36"/>
  <c r="M82" i="36"/>
  <c r="M81" i="36"/>
  <c r="A80" i="36"/>
  <c r="A79" i="36"/>
  <c r="M78" i="36"/>
  <c r="M77" i="36"/>
  <c r="M76" i="36"/>
  <c r="M75" i="36"/>
  <c r="M74" i="36"/>
  <c r="M73" i="36"/>
  <c r="M72" i="36"/>
  <c r="A71" i="36"/>
  <c r="A70" i="36"/>
  <c r="A69" i="36"/>
  <c r="A68" i="36"/>
  <c r="A67" i="36"/>
  <c r="A66" i="36"/>
  <c r="M65" i="36"/>
  <c r="A64" i="36"/>
  <c r="A63" i="36"/>
  <c r="M62" i="36"/>
  <c r="M61" i="36"/>
  <c r="M60" i="36"/>
  <c r="A59" i="36"/>
  <c r="A58" i="36"/>
  <c r="M57" i="36"/>
  <c r="M56" i="36"/>
  <c r="M55" i="36"/>
  <c r="M54" i="36"/>
  <c r="A53" i="36"/>
  <c r="A52" i="36"/>
  <c r="M51" i="36"/>
  <c r="M50" i="36"/>
  <c r="M49" i="36"/>
  <c r="M48" i="36"/>
  <c r="M47" i="36"/>
  <c r="A46" i="36"/>
  <c r="A45" i="36"/>
  <c r="M44" i="36"/>
  <c r="M43" i="36"/>
  <c r="M42" i="36"/>
  <c r="M41" i="36"/>
  <c r="M40" i="36"/>
  <c r="M39" i="36"/>
  <c r="A38" i="36"/>
  <c r="A37" i="36"/>
  <c r="M36" i="36"/>
  <c r="M35" i="36"/>
  <c r="M34" i="36"/>
  <c r="A33" i="36"/>
  <c r="A32" i="36"/>
  <c r="M31" i="36"/>
  <c r="M30" i="36"/>
  <c r="M29" i="36"/>
  <c r="M28" i="36"/>
  <c r="M27" i="36"/>
  <c r="M26" i="36"/>
  <c r="M25" i="36"/>
  <c r="M24" i="36"/>
  <c r="M23" i="36"/>
  <c r="M22" i="36"/>
  <c r="M21" i="36"/>
  <c r="A21" i="36"/>
  <c r="A69" i="35"/>
  <c r="M111" i="35"/>
  <c r="M110" i="35"/>
  <c r="M109" i="35"/>
  <c r="M108" i="35"/>
  <c r="A106" i="35"/>
  <c r="M105" i="35"/>
  <c r="M104" i="35"/>
  <c r="A103" i="35"/>
  <c r="M101" i="35"/>
  <c r="M100" i="35"/>
  <c r="A99" i="35"/>
  <c r="M97" i="35"/>
  <c r="A96" i="35"/>
  <c r="M94" i="35"/>
  <c r="A93" i="35"/>
  <c r="A91" i="35"/>
  <c r="A90" i="35"/>
  <c r="A85" i="35"/>
  <c r="M78" i="35"/>
  <c r="A77" i="35"/>
  <c r="M75" i="35"/>
  <c r="A74" i="35"/>
  <c r="A73" i="35"/>
  <c r="M72" i="35"/>
  <c r="A71" i="35"/>
  <c r="A70" i="35"/>
  <c r="A68" i="35"/>
  <c r="A67" i="35"/>
  <c r="A66" i="35"/>
  <c r="M65" i="35"/>
  <c r="A64" i="35"/>
  <c r="A63" i="35"/>
  <c r="M62" i="35"/>
  <c r="M61" i="35"/>
  <c r="M60" i="35"/>
  <c r="A59" i="35"/>
  <c r="A58" i="35"/>
  <c r="M57" i="35"/>
  <c r="M56" i="35"/>
  <c r="M55" i="35"/>
  <c r="M54" i="35"/>
  <c r="A53" i="35"/>
  <c r="A52" i="35"/>
  <c r="M51" i="35"/>
  <c r="M50" i="35"/>
  <c r="M49" i="35"/>
  <c r="M48" i="35"/>
  <c r="M47" i="35"/>
  <c r="A46" i="35"/>
  <c r="A45" i="35"/>
  <c r="M44" i="35"/>
  <c r="M43" i="35"/>
  <c r="M42" i="35"/>
  <c r="M41" i="35"/>
  <c r="M40" i="35"/>
  <c r="M39" i="35"/>
  <c r="A38" i="35"/>
  <c r="A37" i="35"/>
  <c r="M36" i="35"/>
  <c r="M35" i="35"/>
  <c r="M34" i="35"/>
  <c r="A33" i="35"/>
  <c r="A32" i="35"/>
  <c r="M31" i="35"/>
  <c r="M30" i="35"/>
  <c r="M29" i="35"/>
  <c r="M28" i="35"/>
  <c r="M27" i="35"/>
  <c r="M26" i="35"/>
  <c r="M25" i="35"/>
  <c r="M24" i="35"/>
  <c r="M23" i="35"/>
  <c r="M22" i="35"/>
  <c r="M21" i="35"/>
  <c r="A21" i="35"/>
  <c r="M201" i="34"/>
  <c r="M200" i="34"/>
  <c r="M199" i="34"/>
  <c r="M198" i="34"/>
  <c r="A196" i="34"/>
  <c r="M195" i="34"/>
  <c r="M194" i="34"/>
  <c r="A193" i="34"/>
  <c r="M191" i="34"/>
  <c r="M190" i="34"/>
  <c r="A189" i="34"/>
  <c r="M187" i="34"/>
  <c r="A186" i="34"/>
  <c r="M184" i="34"/>
  <c r="A183" i="34"/>
  <c r="M180" i="34"/>
  <c r="M179" i="34"/>
  <c r="M178" i="34"/>
  <c r="A177" i="34"/>
  <c r="M175" i="34"/>
  <c r="M174" i="34"/>
  <c r="A173" i="34"/>
  <c r="M171" i="34"/>
  <c r="A170" i="34"/>
  <c r="M168" i="34"/>
  <c r="A167" i="34"/>
  <c r="M164" i="34"/>
  <c r="M163" i="34"/>
  <c r="M162" i="34"/>
  <c r="A161" i="34"/>
  <c r="M159" i="34"/>
  <c r="M158" i="34"/>
  <c r="A157" i="34"/>
  <c r="M155" i="34"/>
  <c r="A154" i="34"/>
  <c r="M152" i="34"/>
  <c r="A151" i="34"/>
  <c r="M148" i="34"/>
  <c r="M147" i="34"/>
  <c r="M146" i="34"/>
  <c r="A145" i="34"/>
  <c r="M143" i="34"/>
  <c r="M142" i="34"/>
  <c r="A141" i="34"/>
  <c r="M139" i="34"/>
  <c r="A138" i="34"/>
  <c r="M136" i="34"/>
  <c r="A135" i="34"/>
  <c r="M132" i="34"/>
  <c r="M131" i="34"/>
  <c r="M130" i="34"/>
  <c r="A129" i="34"/>
  <c r="M127" i="34"/>
  <c r="M126" i="34"/>
  <c r="A125" i="34"/>
  <c r="M123" i="34"/>
  <c r="A122" i="34"/>
  <c r="M120" i="34"/>
  <c r="A119" i="34"/>
  <c r="M116" i="34"/>
  <c r="M115" i="34"/>
  <c r="M114" i="34"/>
  <c r="A113" i="34"/>
  <c r="M111" i="34"/>
  <c r="M110" i="34"/>
  <c r="A109" i="34"/>
  <c r="M107" i="34"/>
  <c r="A106" i="34"/>
  <c r="M104" i="34"/>
  <c r="A103" i="34"/>
  <c r="A101" i="34"/>
  <c r="A100" i="34"/>
  <c r="A93" i="34"/>
  <c r="M86" i="34"/>
  <c r="M85" i="34"/>
  <c r="A84" i="34"/>
  <c r="M82" i="34"/>
  <c r="M81" i="34"/>
  <c r="M80" i="34"/>
  <c r="A79" i="34"/>
  <c r="M77" i="34"/>
  <c r="A76" i="34"/>
  <c r="A75" i="34"/>
  <c r="M74" i="34"/>
  <c r="M73" i="34"/>
  <c r="M72" i="34"/>
  <c r="A71" i="34"/>
  <c r="A70" i="34"/>
  <c r="A69" i="34"/>
  <c r="A68" i="34"/>
  <c r="A67" i="34"/>
  <c r="A66" i="34"/>
  <c r="M65" i="34"/>
  <c r="A64" i="34"/>
  <c r="A63" i="34"/>
  <c r="M62" i="34"/>
  <c r="M61" i="34"/>
  <c r="M60" i="34"/>
  <c r="A59" i="34"/>
  <c r="A58" i="34"/>
  <c r="M57" i="34"/>
  <c r="M56" i="34"/>
  <c r="M55" i="34"/>
  <c r="M54" i="34"/>
  <c r="A53" i="34"/>
  <c r="A52" i="34"/>
  <c r="M51" i="34"/>
  <c r="M50" i="34"/>
  <c r="M49" i="34"/>
  <c r="M48" i="34"/>
  <c r="M47" i="34"/>
  <c r="A46" i="34"/>
  <c r="A45" i="34"/>
  <c r="M44" i="34"/>
  <c r="M43" i="34"/>
  <c r="M42" i="34"/>
  <c r="M41" i="34"/>
  <c r="M40" i="34"/>
  <c r="M39" i="34"/>
  <c r="A38" i="34"/>
  <c r="A37" i="34"/>
  <c r="M36" i="34"/>
  <c r="M35" i="34"/>
  <c r="M34" i="34"/>
  <c r="A33" i="34"/>
  <c r="A32" i="34"/>
  <c r="M31" i="34"/>
  <c r="M30" i="34"/>
  <c r="M29" i="34"/>
  <c r="M28" i="34"/>
  <c r="M27" i="34"/>
  <c r="M26" i="34"/>
  <c r="M25" i="34"/>
  <c r="M24" i="34"/>
  <c r="M23" i="34"/>
  <c r="M22" i="34"/>
  <c r="M21" i="34"/>
  <c r="A21" i="34"/>
  <c r="M197" i="33"/>
  <c r="M196" i="33"/>
  <c r="M195" i="33"/>
  <c r="A194" i="33"/>
  <c r="M192" i="33"/>
  <c r="M191" i="33"/>
  <c r="A190" i="33"/>
  <c r="M188" i="33"/>
  <c r="A187" i="33"/>
  <c r="M185" i="33"/>
  <c r="A184" i="33"/>
  <c r="M219" i="33"/>
  <c r="M218" i="33"/>
  <c r="M217" i="33"/>
  <c r="M216" i="33"/>
  <c r="A214" i="33"/>
  <c r="M213" i="33"/>
  <c r="M212" i="33"/>
  <c r="M211" i="33"/>
  <c r="A210" i="33"/>
  <c r="M208" i="33"/>
  <c r="M207" i="33"/>
  <c r="A206" i="33"/>
  <c r="M204" i="33"/>
  <c r="A203" i="33"/>
  <c r="M201" i="33"/>
  <c r="A200" i="33"/>
  <c r="M181" i="33"/>
  <c r="M180" i="33"/>
  <c r="M179" i="33"/>
  <c r="A178" i="33"/>
  <c r="M176" i="33"/>
  <c r="M175" i="33"/>
  <c r="A174" i="33"/>
  <c r="M172" i="33"/>
  <c r="A171" i="33"/>
  <c r="M169" i="33"/>
  <c r="A168" i="33"/>
  <c r="M165" i="33"/>
  <c r="M164" i="33"/>
  <c r="M163" i="33"/>
  <c r="A162" i="33"/>
  <c r="M160" i="33"/>
  <c r="M159" i="33"/>
  <c r="A158" i="33"/>
  <c r="M156" i="33"/>
  <c r="A155" i="33"/>
  <c r="M153" i="33"/>
  <c r="A152" i="33"/>
  <c r="M149" i="33"/>
  <c r="M148" i="33"/>
  <c r="M147" i="33"/>
  <c r="A146" i="33"/>
  <c r="M144" i="33"/>
  <c r="M143" i="33"/>
  <c r="A142" i="33"/>
  <c r="M140" i="33"/>
  <c r="A139" i="33"/>
  <c r="M137" i="33"/>
  <c r="A136" i="33"/>
  <c r="M133" i="33"/>
  <c r="M132" i="33"/>
  <c r="M131" i="33"/>
  <c r="A130" i="33"/>
  <c r="M128" i="33"/>
  <c r="M127" i="33"/>
  <c r="A126" i="33"/>
  <c r="M124" i="33"/>
  <c r="A123" i="33"/>
  <c r="M121" i="33"/>
  <c r="A120" i="33"/>
  <c r="M117" i="33"/>
  <c r="M116" i="33"/>
  <c r="M115" i="33"/>
  <c r="A114" i="33"/>
  <c r="M112" i="33"/>
  <c r="M111" i="33"/>
  <c r="A110" i="33"/>
  <c r="M108" i="33"/>
  <c r="A107" i="33"/>
  <c r="M105" i="33"/>
  <c r="A104" i="33"/>
  <c r="A102" i="33"/>
  <c r="A101" i="33"/>
  <c r="A93" i="33"/>
  <c r="M86" i="33"/>
  <c r="M85" i="33"/>
  <c r="A84" i="33"/>
  <c r="M82" i="33"/>
  <c r="M81" i="33"/>
  <c r="M80" i="33"/>
  <c r="A79" i="33"/>
  <c r="M77" i="33"/>
  <c r="A76" i="33"/>
  <c r="A75" i="33"/>
  <c r="M74" i="33"/>
  <c r="M73" i="33"/>
  <c r="M72" i="33"/>
  <c r="A71" i="33"/>
  <c r="A70" i="33"/>
  <c r="A69" i="33"/>
  <c r="A68" i="33"/>
  <c r="A67" i="33"/>
  <c r="A66" i="33"/>
  <c r="M65" i="33"/>
  <c r="A64" i="33"/>
  <c r="A63" i="33"/>
  <c r="M62" i="33"/>
  <c r="M61" i="33"/>
  <c r="M60" i="33"/>
  <c r="A59" i="33"/>
  <c r="A58" i="33"/>
  <c r="M57" i="33"/>
  <c r="M56" i="33"/>
  <c r="M55" i="33"/>
  <c r="M54" i="33"/>
  <c r="A53" i="33"/>
  <c r="A52" i="33"/>
  <c r="M51" i="33"/>
  <c r="M50" i="33"/>
  <c r="M49" i="33"/>
  <c r="M48" i="33"/>
  <c r="M47" i="33"/>
  <c r="A46" i="33"/>
  <c r="A45" i="33"/>
  <c r="M44" i="33"/>
  <c r="M43" i="33"/>
  <c r="M42" i="33"/>
  <c r="M41" i="33"/>
  <c r="M40" i="33"/>
  <c r="M39" i="33"/>
  <c r="A38" i="33"/>
  <c r="A37" i="33"/>
  <c r="M36" i="33"/>
  <c r="M35" i="33"/>
  <c r="M34" i="33"/>
  <c r="A33" i="33"/>
  <c r="A32" i="33"/>
  <c r="M31" i="33"/>
  <c r="M30" i="33"/>
  <c r="M29" i="33"/>
  <c r="M28" i="33"/>
  <c r="M27" i="33"/>
  <c r="M26" i="33"/>
  <c r="M25" i="33"/>
  <c r="M24" i="33"/>
  <c r="M23" i="33"/>
  <c r="M22" i="33"/>
  <c r="M21" i="33"/>
  <c r="A21" i="33"/>
  <c r="G112" i="26"/>
  <c r="G113" i="26"/>
  <c r="M145" i="26"/>
  <c r="M129" i="26"/>
  <c r="M113" i="26"/>
  <c r="M209" i="26"/>
  <c r="M193" i="26"/>
  <c r="M161" i="26"/>
  <c r="M176" i="26"/>
  <c r="M86" i="26"/>
  <c r="M82" i="26"/>
  <c r="G74" i="26"/>
  <c r="G81" i="26"/>
  <c r="G83" i="26"/>
  <c r="G72" i="26"/>
  <c r="M83" i="26"/>
  <c r="M81" i="26"/>
  <c r="M74" i="26"/>
  <c r="M78" i="26"/>
  <c r="M73" i="26"/>
  <c r="A85" i="26"/>
  <c r="A80" i="26"/>
  <c r="A58" i="26"/>
  <c r="A59" i="26"/>
  <c r="A63" i="26"/>
  <c r="A64" i="26"/>
  <c r="A66" i="26"/>
  <c r="A67" i="26"/>
  <c r="A68" i="26"/>
  <c r="A69" i="26"/>
  <c r="A70" i="26"/>
  <c r="A71" i="26"/>
  <c r="A75" i="26"/>
  <c r="A76" i="26"/>
  <c r="A94" i="26"/>
  <c r="A102" i="26"/>
  <c r="A103" i="26"/>
  <c r="A105" i="26"/>
  <c r="A108" i="26"/>
  <c r="A111" i="26"/>
  <c r="A115" i="26"/>
  <c r="A121" i="26"/>
  <c r="A124" i="26"/>
  <c r="A127" i="26"/>
  <c r="A131" i="26"/>
  <c r="A137" i="26"/>
  <c r="A140" i="26"/>
  <c r="A143" i="26"/>
  <c r="A147" i="26"/>
  <c r="A153" i="26"/>
  <c r="A156" i="26"/>
  <c r="A159" i="26"/>
  <c r="A163" i="26"/>
  <c r="A169" i="26"/>
  <c r="A172" i="26"/>
  <c r="A175" i="26"/>
  <c r="A179" i="26"/>
  <c r="A185" i="26"/>
  <c r="A188" i="26"/>
  <c r="A191" i="26"/>
  <c r="A195" i="26"/>
  <c r="A201" i="26"/>
  <c r="A204" i="26"/>
  <c r="A207" i="26"/>
  <c r="A211" i="26"/>
  <c r="M212" i="26"/>
  <c r="M196" i="26"/>
  <c r="M180" i="26"/>
  <c r="M164" i="26"/>
  <c r="M148" i="26"/>
  <c r="M132" i="26"/>
  <c r="M116" i="26"/>
  <c r="M214" i="26"/>
  <c r="M213" i="26"/>
  <c r="M205" i="26"/>
  <c r="M198" i="26"/>
  <c r="M197" i="26"/>
  <c r="M189" i="26"/>
  <c r="M182" i="26"/>
  <c r="M181" i="26"/>
  <c r="M173" i="26"/>
  <c r="M166" i="26"/>
  <c r="M165" i="26"/>
  <c r="M157" i="26"/>
  <c r="M150" i="26"/>
  <c r="M149" i="26"/>
  <c r="M141" i="26"/>
  <c r="M134" i="26"/>
  <c r="M133" i="26"/>
  <c r="M125" i="26"/>
  <c r="M109" i="26"/>
  <c r="M118" i="26"/>
  <c r="M117" i="26"/>
  <c r="M208" i="26"/>
  <c r="M192" i="26"/>
  <c r="M177" i="26"/>
  <c r="M160" i="26"/>
  <c r="M144" i="26"/>
  <c r="M128" i="26"/>
  <c r="M112" i="26"/>
  <c r="M202" i="26"/>
  <c r="M186" i="26"/>
  <c r="M170" i="26"/>
  <c r="M154" i="26"/>
  <c r="M138" i="26"/>
  <c r="M122" i="26"/>
  <c r="M106" i="26"/>
  <c r="M97" i="26"/>
  <c r="M101" i="26"/>
  <c r="M96" i="26"/>
  <c r="Q86" i="41" l="1"/>
  <c r="S89" i="40"/>
  <c r="T89" i="40" s="1"/>
  <c r="Q87" i="40"/>
  <c r="S86" i="40"/>
  <c r="T86" i="40" s="1"/>
  <c r="S89" i="41"/>
  <c r="T89" i="41" s="1"/>
  <c r="Q89" i="41"/>
  <c r="Q89" i="40"/>
  <c r="Q87" i="35"/>
  <c r="Q89" i="42"/>
  <c r="S99" i="33"/>
  <c r="T99" i="33" s="1"/>
  <c r="Q86" i="42"/>
  <c r="Q87" i="41"/>
  <c r="Q116" i="36"/>
  <c r="S110" i="36"/>
  <c r="T110" i="36" s="1"/>
  <c r="Q110" i="36"/>
  <c r="S108" i="36"/>
  <c r="T108" i="36" s="1"/>
  <c r="Q108" i="36"/>
  <c r="Q111" i="36"/>
  <c r="Q109" i="36"/>
  <c r="Q114" i="36"/>
  <c r="S113" i="36"/>
  <c r="T113" i="36" s="1"/>
  <c r="Q113" i="36"/>
  <c r="S107" i="36"/>
  <c r="T107" i="36" s="1"/>
  <c r="Q107" i="36"/>
  <c r="Q112" i="36"/>
  <c r="Q115" i="36"/>
  <c r="S88" i="42"/>
  <c r="T88" i="42" s="1"/>
  <c r="Q88" i="42"/>
  <c r="A25" i="42"/>
  <c r="A26" i="41"/>
  <c r="A27" i="41"/>
  <c r="S88" i="41"/>
  <c r="T88" i="41" s="1"/>
  <c r="Q88" i="41"/>
  <c r="S88" i="40"/>
  <c r="T88" i="40" s="1"/>
  <c r="Q88" i="40"/>
  <c r="A23" i="40"/>
  <c r="A24" i="40"/>
  <c r="S87" i="35"/>
  <c r="T87" i="35" s="1"/>
  <c r="Q89" i="35"/>
  <c r="S89" i="35"/>
  <c r="T89" i="35" s="1"/>
  <c r="Q88" i="35"/>
  <c r="Q86" i="35"/>
  <c r="Q99" i="34"/>
  <c r="S97" i="34"/>
  <c r="T97" i="34" s="1"/>
  <c r="S98" i="34"/>
  <c r="T98" i="34" s="1"/>
  <c r="S96" i="34"/>
  <c r="T96" i="34" s="1"/>
  <c r="Q96" i="34"/>
  <c r="S95" i="34"/>
  <c r="T95" i="34" s="1"/>
  <c r="Q95" i="34"/>
  <c r="Q97" i="34"/>
  <c r="S94" i="34"/>
  <c r="T94" i="34" s="1"/>
  <c r="Q94" i="34"/>
  <c r="Q98" i="34"/>
  <c r="S95" i="33"/>
  <c r="T95" i="33" s="1"/>
  <c r="Q95" i="33"/>
  <c r="S96" i="33"/>
  <c r="T96" i="33" s="1"/>
  <c r="Q96" i="33"/>
  <c r="Q99" i="33"/>
  <c r="S97" i="33"/>
  <c r="T97" i="33" s="1"/>
  <c r="Q97" i="33"/>
  <c r="S100" i="33"/>
  <c r="T100" i="33" s="1"/>
  <c r="Q100" i="33"/>
  <c r="S94" i="33"/>
  <c r="T94" i="33" s="1"/>
  <c r="Q94" i="33"/>
  <c r="Q98" i="33"/>
  <c r="S100" i="26"/>
  <c r="T100" i="26" s="1"/>
  <c r="Q100" i="26"/>
  <c r="S99" i="26"/>
  <c r="T99" i="26" s="1"/>
  <c r="Q99" i="26"/>
  <c r="S98" i="26"/>
  <c r="T98" i="26" s="1"/>
  <c r="Q98" i="26"/>
  <c r="S95" i="26"/>
  <c r="T95" i="26" s="1"/>
  <c r="Q95" i="26"/>
  <c r="A22" i="34"/>
  <c r="A23" i="34" s="1"/>
  <c r="L80" i="39"/>
  <c r="N80" i="39" s="1"/>
  <c r="S80" i="39" s="1"/>
  <c r="T80" i="39" s="1"/>
  <c r="L72" i="39"/>
  <c r="N72" i="39" s="1"/>
  <c r="L75" i="39"/>
  <c r="N75" i="39" s="1"/>
  <c r="Q75" i="39" s="1"/>
  <c r="L71" i="39"/>
  <c r="N71" i="39" s="1"/>
  <c r="N76" i="39"/>
  <c r="P76" i="39"/>
  <c r="A23" i="39"/>
  <c r="P73" i="39"/>
  <c r="L73" i="39"/>
  <c r="N73" i="39" s="1"/>
  <c r="P79" i="39"/>
  <c r="L79" i="39"/>
  <c r="N79" i="39" s="1"/>
  <c r="L74" i="39"/>
  <c r="N74" i="39" s="1"/>
  <c r="S74" i="39" s="1"/>
  <c r="T74" i="39" s="1"/>
  <c r="L81" i="39"/>
  <c r="N81" i="39" s="1"/>
  <c r="S81" i="39" s="1"/>
  <c r="T81" i="39" s="1"/>
  <c r="L77" i="38"/>
  <c r="N77" i="38" s="1"/>
  <c r="L78" i="38"/>
  <c r="N78" i="38" s="1"/>
  <c r="S78" i="38" s="1"/>
  <c r="T78" i="38" s="1"/>
  <c r="P76" i="38"/>
  <c r="L76" i="38"/>
  <c r="N76" i="38" s="1"/>
  <c r="L79" i="38"/>
  <c r="N79" i="38" s="1"/>
  <c r="S79" i="38" s="1"/>
  <c r="T79" i="38" s="1"/>
  <c r="A22" i="38"/>
  <c r="L75" i="38"/>
  <c r="N75" i="38" s="1"/>
  <c r="N79" i="37"/>
  <c r="L78" i="37"/>
  <c r="N78" i="37" s="1"/>
  <c r="S78" i="37" s="1"/>
  <c r="T78" i="37" s="1"/>
  <c r="A22" i="37"/>
  <c r="P80" i="37"/>
  <c r="L80" i="37"/>
  <c r="N80" i="37" s="1"/>
  <c r="P79" i="37"/>
  <c r="A22" i="36"/>
  <c r="A22" i="35"/>
  <c r="A23" i="35" s="1"/>
  <c r="A24" i="35" s="1"/>
  <c r="A22" i="33"/>
  <c r="A28" i="41" l="1"/>
  <c r="A26" i="42"/>
  <c r="A29" i="41"/>
  <c r="A25" i="40"/>
  <c r="A26" i="40" s="1"/>
  <c r="A24" i="34"/>
  <c r="Q80" i="39"/>
  <c r="S79" i="39"/>
  <c r="T79" i="39" s="1"/>
  <c r="S72" i="39"/>
  <c r="T72" i="39" s="1"/>
  <c r="Q72" i="39"/>
  <c r="S75" i="39"/>
  <c r="T75" i="39" s="1"/>
  <c r="Q76" i="39"/>
  <c r="S73" i="39"/>
  <c r="T73" i="39" s="1"/>
  <c r="S71" i="39"/>
  <c r="T71" i="39" s="1"/>
  <c r="Q71" i="39"/>
  <c r="S76" i="39"/>
  <c r="T76" i="39" s="1"/>
  <c r="Q79" i="39"/>
  <c r="Q74" i="39"/>
  <c r="Q81" i="39"/>
  <c r="A24" i="39"/>
  <c r="Q73" i="39"/>
  <c r="S77" i="38"/>
  <c r="T77" i="38" s="1"/>
  <c r="Q77" i="38"/>
  <c r="Q78" i="38"/>
  <c r="S76" i="38"/>
  <c r="T76" i="38" s="1"/>
  <c r="Q76" i="38"/>
  <c r="A23" i="38"/>
  <c r="A24" i="38" s="1"/>
  <c r="A25" i="38" s="1"/>
  <c r="Q79" i="38"/>
  <c r="S75" i="38"/>
  <c r="T75" i="38" s="1"/>
  <c r="Q75" i="38"/>
  <c r="Q79" i="37"/>
  <c r="Q78" i="37"/>
  <c r="S80" i="37"/>
  <c r="T80" i="37" s="1"/>
  <c r="Q80" i="37"/>
  <c r="A23" i="37"/>
  <c r="A24" i="37" s="1"/>
  <c r="S79" i="37"/>
  <c r="T79" i="37" s="1"/>
  <c r="A23" i="36"/>
  <c r="A25" i="35"/>
  <c r="A26" i="35" s="1"/>
  <c r="A23" i="33"/>
  <c r="A27" i="40" l="1"/>
  <c r="A27" i="42"/>
  <c r="A28" i="42"/>
  <c r="A30" i="41"/>
  <c r="A28" i="40"/>
  <c r="A29" i="40" s="1"/>
  <c r="A25" i="34"/>
  <c r="A25" i="39"/>
  <c r="A26" i="39" s="1"/>
  <c r="A26" i="38"/>
  <c r="A25" i="37"/>
  <c r="A26" i="37" s="1"/>
  <c r="A24" i="36"/>
  <c r="A27" i="35"/>
  <c r="A26" i="34"/>
  <c r="A24" i="33"/>
  <c r="I101" i="26"/>
  <c r="L101" i="26" s="1"/>
  <c r="N101" i="26" s="1"/>
  <c r="I97" i="26"/>
  <c r="L97" i="26" s="1"/>
  <c r="N97" i="26" s="1"/>
  <c r="I96" i="26"/>
  <c r="A29" i="42" l="1"/>
  <c r="A30" i="42"/>
  <c r="A31" i="42" s="1"/>
  <c r="A31" i="41"/>
  <c r="A30" i="40"/>
  <c r="A25" i="36"/>
  <c r="A27" i="39"/>
  <c r="A27" i="38"/>
  <c r="A28" i="38"/>
  <c r="A27" i="37"/>
  <c r="A28" i="35"/>
  <c r="A27" i="34"/>
  <c r="A25" i="33"/>
  <c r="P97" i="26"/>
  <c r="Q97" i="26" s="1"/>
  <c r="P101" i="26"/>
  <c r="S101" i="26" s="1"/>
  <c r="T101" i="26" s="1"/>
  <c r="P96" i="26"/>
  <c r="L96" i="26"/>
  <c r="N96" i="26" s="1"/>
  <c r="A34" i="42" l="1"/>
  <c r="A34" i="41"/>
  <c r="A31" i="40"/>
  <c r="A26" i="36"/>
  <c r="A28" i="39"/>
  <c r="A29" i="38"/>
  <c r="A30" i="38"/>
  <c r="A28" i="37"/>
  <c r="A29" i="37" s="1"/>
  <c r="A29" i="35"/>
  <c r="A28" i="34"/>
  <c r="A26" i="33"/>
  <c r="S96" i="26"/>
  <c r="T96" i="26" s="1"/>
  <c r="Q96" i="26"/>
  <c r="S97" i="26"/>
  <c r="T97" i="26" s="1"/>
  <c r="Q101" i="26"/>
  <c r="A35" i="42" l="1"/>
  <c r="A36" i="42" s="1"/>
  <c r="A39" i="42" s="1"/>
  <c r="A35" i="41"/>
  <c r="A34" i="40"/>
  <c r="A30" i="35"/>
  <c r="A31" i="35" s="1"/>
  <c r="A27" i="36"/>
  <c r="A29" i="39"/>
  <c r="A31" i="38"/>
  <c r="A30" i="37"/>
  <c r="A29" i="34"/>
  <c r="A27" i="33"/>
  <c r="M72" i="26"/>
  <c r="M87" i="26"/>
  <c r="A21" i="26"/>
  <c r="A32" i="26"/>
  <c r="A33" i="26"/>
  <c r="A37" i="26"/>
  <c r="A38" i="26"/>
  <c r="A45" i="26"/>
  <c r="A46" i="26"/>
  <c r="A52" i="26"/>
  <c r="A53" i="26"/>
  <c r="A40" i="42" l="1"/>
  <c r="A41" i="42" s="1"/>
  <c r="A42" i="42" s="1"/>
  <c r="A43" i="42" s="1"/>
  <c r="A44" i="42" s="1"/>
  <c r="A47" i="42" s="1"/>
  <c r="A48" i="42" s="1"/>
  <c r="A49" i="42" s="1"/>
  <c r="A50" i="42" s="1"/>
  <c r="A51" i="42" s="1"/>
  <c r="A54" i="42" s="1"/>
  <c r="A55" i="42" s="1"/>
  <c r="A56" i="42" s="1"/>
  <c r="A57" i="42" s="1"/>
  <c r="A60" i="42" s="1"/>
  <c r="A61" i="42" s="1"/>
  <c r="A62" i="42" s="1"/>
  <c r="A65" i="42" s="1"/>
  <c r="A72" i="42" s="1"/>
  <c r="A75" i="42" s="1"/>
  <c r="A78" i="42" s="1"/>
  <c r="A81" i="42" s="1"/>
  <c r="A82" i="42" s="1"/>
  <c r="A83" i="42" s="1"/>
  <c r="A86" i="42" s="1"/>
  <c r="A36" i="41"/>
  <c r="A39" i="41" s="1"/>
  <c r="A40" i="41" s="1"/>
  <c r="A41" i="41" s="1"/>
  <c r="A42" i="41" s="1"/>
  <c r="A43" i="41" s="1"/>
  <c r="A44" i="41" s="1"/>
  <c r="A47" i="41" s="1"/>
  <c r="A48" i="41" s="1"/>
  <c r="A49" i="41" s="1"/>
  <c r="A50" i="41" s="1"/>
  <c r="A51" i="41" s="1"/>
  <c r="A54" i="41" s="1"/>
  <c r="A55" i="41" s="1"/>
  <c r="A56" i="41" s="1"/>
  <c r="A57" i="41" s="1"/>
  <c r="A60" i="41" s="1"/>
  <c r="A61" i="41" s="1"/>
  <c r="A62" i="41" s="1"/>
  <c r="A65" i="41" s="1"/>
  <c r="A72" i="41" s="1"/>
  <c r="A75" i="41" s="1"/>
  <c r="A78" i="41" s="1"/>
  <c r="A81" i="41" s="1"/>
  <c r="A82" i="41" s="1"/>
  <c r="A83" i="41" s="1"/>
  <c r="A86" i="41" s="1"/>
  <c r="A35" i="40"/>
  <c r="A36" i="40" s="1"/>
  <c r="A39" i="40" s="1"/>
  <c r="A40" i="40" s="1"/>
  <c r="A41" i="40" s="1"/>
  <c r="A42" i="40" s="1"/>
  <c r="A43" i="40" s="1"/>
  <c r="A44" i="40" s="1"/>
  <c r="A47" i="40" s="1"/>
  <c r="A48" i="40" s="1"/>
  <c r="A49" i="40" s="1"/>
  <c r="A50" i="40" s="1"/>
  <c r="A51" i="40" s="1"/>
  <c r="A54" i="40" s="1"/>
  <c r="A55" i="40" s="1"/>
  <c r="A56" i="40" s="1"/>
  <c r="A57" i="40" s="1"/>
  <c r="A60" i="40" s="1"/>
  <c r="A61" i="40" s="1"/>
  <c r="A62" i="40" s="1"/>
  <c r="A65" i="40" s="1"/>
  <c r="A72" i="40" s="1"/>
  <c r="A75" i="40" s="1"/>
  <c r="A78" i="40" s="1"/>
  <c r="A81" i="40" s="1"/>
  <c r="A82" i="40" s="1"/>
  <c r="A83" i="40" s="1"/>
  <c r="A86" i="40" s="1"/>
  <c r="A28" i="36"/>
  <c r="A30" i="39"/>
  <c r="A34" i="38"/>
  <c r="A35" i="38" s="1"/>
  <c r="A36" i="38" s="1"/>
  <c r="A39" i="38" s="1"/>
  <c r="A40" i="38" s="1"/>
  <c r="A41" i="38" s="1"/>
  <c r="A42" i="38" s="1"/>
  <c r="A43" i="38" s="1"/>
  <c r="A44" i="38" s="1"/>
  <c r="A47" i="38" s="1"/>
  <c r="A48" i="38" s="1"/>
  <c r="A49" i="38" s="1"/>
  <c r="A50" i="38" s="1"/>
  <c r="A51" i="38" s="1"/>
  <c r="A54" i="38" s="1"/>
  <c r="A55" i="38" s="1"/>
  <c r="A56" i="38" s="1"/>
  <c r="A57" i="38" s="1"/>
  <c r="A60" i="38" s="1"/>
  <c r="A61" i="38" s="1"/>
  <c r="A62" i="38" s="1"/>
  <c r="A65" i="38" s="1"/>
  <c r="A71" i="38" s="1"/>
  <c r="A72" i="38" s="1"/>
  <c r="A31" i="37"/>
  <c r="A34" i="35"/>
  <c r="A35" i="35" s="1"/>
  <c r="A36" i="35" s="1"/>
  <c r="A39" i="35" s="1"/>
  <c r="A40" i="35" s="1"/>
  <c r="A41" i="35" s="1"/>
  <c r="A42" i="35" s="1"/>
  <c r="A43" i="35" s="1"/>
  <c r="A44" i="35" s="1"/>
  <c r="A47" i="35" s="1"/>
  <c r="A48" i="35" s="1"/>
  <c r="A49" i="35" s="1"/>
  <c r="A50" i="35" s="1"/>
  <c r="A51" i="35" s="1"/>
  <c r="A54" i="35" s="1"/>
  <c r="A55" i="35" s="1"/>
  <c r="A56" i="35" s="1"/>
  <c r="A57" i="35" s="1"/>
  <c r="A60" i="35" s="1"/>
  <c r="A61" i="35" s="1"/>
  <c r="A62" i="35" s="1"/>
  <c r="A65" i="35" s="1"/>
  <c r="A72" i="35" s="1"/>
  <c r="A75" i="35" s="1"/>
  <c r="A30" i="34"/>
  <c r="A28" i="33"/>
  <c r="A22" i="26"/>
  <c r="A23" i="26" s="1"/>
  <c r="A88" i="42" l="1"/>
  <c r="A87" i="42"/>
  <c r="A89" i="42"/>
  <c r="A92" i="42" s="1"/>
  <c r="A94" i="42" s="1"/>
  <c r="A97" i="42" s="1"/>
  <c r="A89" i="41"/>
  <c r="A92" i="41" s="1"/>
  <c r="A94" i="41" s="1"/>
  <c r="A97" i="41" s="1"/>
  <c r="A88" i="41"/>
  <c r="A87" i="41"/>
  <c r="A89" i="40"/>
  <c r="A88" i="40"/>
  <c r="A87" i="40"/>
  <c r="A29" i="36"/>
  <c r="A30" i="36" s="1"/>
  <c r="A31" i="36" s="1"/>
  <c r="A31" i="39"/>
  <c r="A34" i="39" s="1"/>
  <c r="A35" i="39" s="1"/>
  <c r="A36" i="39" s="1"/>
  <c r="A39" i="39" s="1"/>
  <c r="A40" i="39" s="1"/>
  <c r="A41" i="39" s="1"/>
  <c r="A42" i="39" s="1"/>
  <c r="A43" i="39" s="1"/>
  <c r="A44" i="39" s="1"/>
  <c r="A47" i="39" s="1"/>
  <c r="A48" i="39" s="1"/>
  <c r="A49" i="39" s="1"/>
  <c r="A50" i="39" s="1"/>
  <c r="A51" i="39" s="1"/>
  <c r="A54" i="39" s="1"/>
  <c r="A55" i="39" s="1"/>
  <c r="A56" i="39" s="1"/>
  <c r="A57" i="39" s="1"/>
  <c r="A60" i="39" s="1"/>
  <c r="A61" i="39" s="1"/>
  <c r="A62" i="39" s="1"/>
  <c r="A65" i="39" s="1"/>
  <c r="A71" i="39" s="1"/>
  <c r="A72" i="39" s="1"/>
  <c r="A73" i="39" s="1"/>
  <c r="A74" i="39" s="1"/>
  <c r="A75" i="39" s="1"/>
  <c r="A76" i="39" s="1"/>
  <c r="A79" i="39" s="1"/>
  <c r="A80" i="39" s="1"/>
  <c r="A81" i="39" s="1"/>
  <c r="A75" i="38"/>
  <c r="A76" i="38" s="1"/>
  <c r="A79" i="38" s="1"/>
  <c r="A77" i="38"/>
  <c r="A34" i="37"/>
  <c r="A35" i="37" s="1"/>
  <c r="A36" i="37" s="1"/>
  <c r="A39" i="37" s="1"/>
  <c r="A40" i="37" s="1"/>
  <c r="A41" i="37" s="1"/>
  <c r="A42" i="37" s="1"/>
  <c r="A43" i="37" s="1"/>
  <c r="A44" i="37" s="1"/>
  <c r="A47" i="37" s="1"/>
  <c r="A48" i="37" s="1"/>
  <c r="A49" i="37" s="1"/>
  <c r="A50" i="37" s="1"/>
  <c r="A51" i="37" s="1"/>
  <c r="A54" i="37" s="1"/>
  <c r="A55" i="37" s="1"/>
  <c r="A56" i="37" s="1"/>
  <c r="A57" i="37" s="1"/>
  <c r="A60" i="37" s="1"/>
  <c r="A61" i="37" s="1"/>
  <c r="A62" i="37" s="1"/>
  <c r="A65" i="37" s="1"/>
  <c r="A71" i="37" s="1"/>
  <c r="A74" i="37" s="1"/>
  <c r="A31" i="34"/>
  <c r="A34" i="34" s="1"/>
  <c r="A35" i="34" s="1"/>
  <c r="A36" i="34" s="1"/>
  <c r="A39" i="34" s="1"/>
  <c r="A40" i="34" s="1"/>
  <c r="A41" i="34" s="1"/>
  <c r="A42" i="34" s="1"/>
  <c r="A43" i="34" s="1"/>
  <c r="A44" i="34" s="1"/>
  <c r="A47" i="34" s="1"/>
  <c r="A48" i="34" s="1"/>
  <c r="A49" i="34" s="1"/>
  <c r="A50" i="34" s="1"/>
  <c r="A51" i="34" s="1"/>
  <c r="A54" i="34" s="1"/>
  <c r="A55" i="34" s="1"/>
  <c r="A56" i="34" s="1"/>
  <c r="A57" i="34" s="1"/>
  <c r="A60" i="34" s="1"/>
  <c r="A61" i="34" s="1"/>
  <c r="A62" i="34" s="1"/>
  <c r="A65" i="34" s="1"/>
  <c r="A72" i="34" s="1"/>
  <c r="A73" i="34" s="1"/>
  <c r="A74" i="34" s="1"/>
  <c r="A77" i="34" s="1"/>
  <c r="A80" i="34" s="1"/>
  <c r="A29" i="33"/>
  <c r="A30" i="33" s="1"/>
  <c r="A24" i="26"/>
  <c r="A100" i="42" l="1"/>
  <c r="A101" i="42"/>
  <c r="A104" i="42" s="1"/>
  <c r="A105" i="42" s="1"/>
  <c r="A101" i="41"/>
  <c r="A100" i="41"/>
  <c r="A92" i="40"/>
  <c r="A94" i="40" s="1"/>
  <c r="A97" i="40" s="1"/>
  <c r="A34" i="36"/>
  <c r="A35" i="36" s="1"/>
  <c r="A78" i="38"/>
  <c r="A75" i="37"/>
  <c r="A78" i="35"/>
  <c r="A81" i="35" s="1"/>
  <c r="A82" i="35" s="1"/>
  <c r="A83" i="35" s="1"/>
  <c r="A86" i="35" s="1"/>
  <c r="A82" i="34"/>
  <c r="A81" i="34"/>
  <c r="A31" i="33"/>
  <c r="A34" i="33" s="1"/>
  <c r="A35" i="33" s="1"/>
  <c r="A36" i="33" s="1"/>
  <c r="A25" i="26"/>
  <c r="A104" i="41" l="1"/>
  <c r="A105" i="41" s="1"/>
  <c r="A36" i="36"/>
  <c r="A39" i="36" s="1"/>
  <c r="A40" i="36" s="1"/>
  <c r="A41" i="36" s="1"/>
  <c r="A42" i="36" s="1"/>
  <c r="A43" i="36" s="1"/>
  <c r="A44" i="36" s="1"/>
  <c r="A47" i="36" s="1"/>
  <c r="A48" i="36" s="1"/>
  <c r="A49" i="36" s="1"/>
  <c r="A50" i="36" s="1"/>
  <c r="A51" i="36" s="1"/>
  <c r="A54" i="36" s="1"/>
  <c r="A55" i="36" s="1"/>
  <c r="A56" i="36" s="1"/>
  <c r="A57" i="36" s="1"/>
  <c r="A60" i="36" s="1"/>
  <c r="A61" i="36" s="1"/>
  <c r="A62" i="36" s="1"/>
  <c r="A65" i="36" s="1"/>
  <c r="A72" i="36" s="1"/>
  <c r="A73" i="36" s="1"/>
  <c r="A74" i="36" s="1"/>
  <c r="A75" i="36" s="1"/>
  <c r="A100" i="40"/>
  <c r="A101" i="40"/>
  <c r="A104" i="40" s="1"/>
  <c r="A105" i="40" s="1"/>
  <c r="A89" i="35"/>
  <c r="A87" i="35"/>
  <c r="A88" i="35"/>
  <c r="A85" i="34"/>
  <c r="A86" i="34"/>
  <c r="A89" i="34" s="1"/>
  <c r="A90" i="34" s="1"/>
  <c r="A91" i="34" s="1"/>
  <c r="A39" i="33"/>
  <c r="A26" i="26"/>
  <c r="A27" i="26" s="1"/>
  <c r="A76" i="36" l="1"/>
  <c r="A77" i="36" s="1"/>
  <c r="A78" i="36" s="1"/>
  <c r="A81" i="36" s="1"/>
  <c r="A82" i="36" s="1"/>
  <c r="A83" i="36" s="1"/>
  <c r="A84" i="36" s="1"/>
  <c r="A87" i="36" s="1"/>
  <c r="A88" i="36" s="1"/>
  <c r="A89" i="36" s="1"/>
  <c r="A90" i="36" s="1"/>
  <c r="A91" i="36" s="1"/>
  <c r="A92" i="35"/>
  <c r="A94" i="35" s="1"/>
  <c r="A97" i="35" s="1"/>
  <c r="A94" i="34"/>
  <c r="A78" i="37"/>
  <c r="A79" i="37" s="1"/>
  <c r="A80" i="37" s="1"/>
  <c r="A40" i="33"/>
  <c r="A41" i="33" s="1"/>
  <c r="A28" i="26"/>
  <c r="A119" i="36" l="1"/>
  <c r="A92" i="36"/>
  <c r="A94" i="36" s="1"/>
  <c r="A93" i="36"/>
  <c r="A101" i="35"/>
  <c r="A100" i="35"/>
  <c r="A97" i="34"/>
  <c r="A95" i="34"/>
  <c r="A99" i="34" s="1"/>
  <c r="A42" i="33"/>
  <c r="A43" i="33" s="1"/>
  <c r="A44" i="33" s="1"/>
  <c r="A47" i="33" s="1"/>
  <c r="A48" i="33" s="1"/>
  <c r="A49" i="33" s="1"/>
  <c r="A50" i="33" s="1"/>
  <c r="A51" i="33" s="1"/>
  <c r="A54" i="33" s="1"/>
  <c r="A55" i="33" s="1"/>
  <c r="A56" i="33" s="1"/>
  <c r="A57" i="33" s="1"/>
  <c r="A60" i="33" s="1"/>
  <c r="A61" i="33" s="1"/>
  <c r="A62" i="33" s="1"/>
  <c r="A65" i="33" s="1"/>
  <c r="A72" i="33" s="1"/>
  <c r="A29" i="26"/>
  <c r="A104" i="35" l="1"/>
  <c r="A105" i="35" s="1"/>
  <c r="A95" i="36"/>
  <c r="A98" i="36" s="1"/>
  <c r="A99" i="36" s="1"/>
  <c r="A100" i="36" s="1"/>
  <c r="A98" i="34"/>
  <c r="A96" i="34"/>
  <c r="A73" i="33"/>
  <c r="A30" i="26"/>
  <c r="A31" i="26" s="1"/>
  <c r="A103" i="36" l="1"/>
  <c r="A104" i="36"/>
  <c r="A74" i="33"/>
  <c r="A34" i="26"/>
  <c r="D6" i="12"/>
  <c r="D5" i="12"/>
  <c r="D4" i="12"/>
  <c r="A215" i="26"/>
  <c r="M65" i="26"/>
  <c r="M62" i="26"/>
  <c r="M61" i="26"/>
  <c r="M60" i="26"/>
  <c r="M57" i="26"/>
  <c r="M56" i="26"/>
  <c r="M55" i="26"/>
  <c r="M54" i="26"/>
  <c r="M51" i="26"/>
  <c r="M50" i="26"/>
  <c r="M49" i="26"/>
  <c r="M48" i="26"/>
  <c r="M47" i="26"/>
  <c r="M44" i="26"/>
  <c r="M43" i="26"/>
  <c r="M42" i="26"/>
  <c r="M41" i="26"/>
  <c r="M40" i="26"/>
  <c r="M39" i="26"/>
  <c r="M36" i="26"/>
  <c r="M35" i="26"/>
  <c r="M34" i="26"/>
  <c r="M31" i="26"/>
  <c r="M30" i="26"/>
  <c r="M29" i="26"/>
  <c r="M28" i="26"/>
  <c r="M27" i="26"/>
  <c r="M26" i="26"/>
  <c r="M25" i="26"/>
  <c r="M24" i="26"/>
  <c r="M23" i="26"/>
  <c r="M22" i="26"/>
  <c r="M77" i="26"/>
  <c r="A108" i="36" l="1"/>
  <c r="A109" i="36"/>
  <c r="A111" i="36"/>
  <c r="A107" i="36"/>
  <c r="A77" i="33"/>
  <c r="A35" i="26"/>
  <c r="A116" i="36" l="1"/>
  <c r="A114" i="36"/>
  <c r="A110" i="36"/>
  <c r="A112" i="36"/>
  <c r="A113" i="36" s="1"/>
  <c r="A121" i="36" s="1"/>
  <c r="A124" i="36" s="1"/>
  <c r="A127" i="36" s="1"/>
  <c r="A128" i="36" s="1"/>
  <c r="A131" i="36" s="1"/>
  <c r="A132" i="36" s="1"/>
  <c r="A133" i="36" s="1"/>
  <c r="A115" i="36"/>
  <c r="A102" i="34"/>
  <c r="A80" i="33"/>
  <c r="A36" i="26"/>
  <c r="F11" i="31"/>
  <c r="A135" i="36" l="1"/>
  <c r="A137" i="36" s="1"/>
  <c r="A104" i="34"/>
  <c r="A81" i="33"/>
  <c r="A82" i="33"/>
  <c r="A39" i="26"/>
  <c r="A140" i="36" l="1"/>
  <c r="A143" i="36" s="1"/>
  <c r="A144" i="36" s="1"/>
  <c r="A147" i="36" s="1"/>
  <c r="A148" i="36" s="1"/>
  <c r="A149" i="36" s="1"/>
  <c r="A151" i="36" s="1"/>
  <c r="A153" i="36" s="1"/>
  <c r="A156" i="36" s="1"/>
  <c r="A159" i="36" s="1"/>
  <c r="A160" i="36" s="1"/>
  <c r="A163" i="36" s="1"/>
  <c r="A164" i="36" s="1"/>
  <c r="A165" i="36" s="1"/>
  <c r="A167" i="36" s="1"/>
  <c r="A169" i="36" s="1"/>
  <c r="A172" i="36" s="1"/>
  <c r="A175" i="36" s="1"/>
  <c r="A176" i="36" s="1"/>
  <c r="A179" i="36" s="1"/>
  <c r="A180" i="36" s="1"/>
  <c r="A181" i="36" s="1"/>
  <c r="A107" i="34"/>
  <c r="A85" i="33"/>
  <c r="A86" i="33"/>
  <c r="A40" i="26"/>
  <c r="A183" i="36" l="1"/>
  <c r="A185" i="36" s="1"/>
  <c r="A188" i="36" s="1"/>
  <c r="A199" i="36"/>
  <c r="A110" i="34"/>
  <c r="A89" i="33"/>
  <c r="A90" i="33" s="1"/>
  <c r="A91" i="33" s="1"/>
  <c r="A95" i="33" s="1"/>
  <c r="A41" i="26"/>
  <c r="M220" i="26"/>
  <c r="M219" i="26"/>
  <c r="M218" i="26"/>
  <c r="M217" i="26"/>
  <c r="M21" i="26"/>
  <c r="A191" i="36" l="1"/>
  <c r="A192" i="36"/>
  <c r="A111" i="34"/>
  <c r="A94" i="33"/>
  <c r="A96" i="33"/>
  <c r="A42" i="26"/>
  <c r="A43" i="26" s="1"/>
  <c r="A44" i="26" s="1"/>
  <c r="A47" i="26" s="1"/>
  <c r="A48" i="26" s="1"/>
  <c r="A49" i="26" s="1"/>
  <c r="A50" i="26" s="1"/>
  <c r="A51" i="26" s="1"/>
  <c r="A195" i="36" l="1"/>
  <c r="A196" i="36" s="1"/>
  <c r="A197" i="36" s="1"/>
  <c r="A201" i="36" s="1"/>
  <c r="A204" i="36" s="1"/>
  <c r="A208" i="36" s="1"/>
  <c r="A114" i="34"/>
  <c r="A98" i="33"/>
  <c r="A97" i="33"/>
  <c r="A99" i="33"/>
  <c r="A54" i="26"/>
  <c r="A55" i="26" s="1"/>
  <c r="A56" i="26" s="1"/>
  <c r="A57" i="26" s="1"/>
  <c r="A60" i="26" s="1"/>
  <c r="A61" i="26" s="1"/>
  <c r="A62" i="26" s="1"/>
  <c r="A65" i="26" s="1"/>
  <c r="A72" i="26" s="1"/>
  <c r="L4" i="12"/>
  <c r="A207" i="36" l="1"/>
  <c r="A211" i="36" s="1"/>
  <c r="A212" i="36" s="1"/>
  <c r="A213" i="36" s="1"/>
  <c r="A115" i="34"/>
  <c r="A100" i="33"/>
  <c r="A73" i="26"/>
  <c r="C122" i="22"/>
  <c r="C123" i="22"/>
  <c r="C118" i="22"/>
  <c r="C119" i="22"/>
  <c r="C120" i="22"/>
  <c r="C121" i="22"/>
  <c r="C117" i="22"/>
  <c r="C116" i="22"/>
  <c r="H104" i="40" l="1"/>
  <c r="I104" i="40" s="1"/>
  <c r="H104" i="41"/>
  <c r="I104" i="41" s="1"/>
  <c r="H81" i="40"/>
  <c r="I81" i="40" s="1"/>
  <c r="H104" i="42"/>
  <c r="I104" i="42" s="1"/>
  <c r="H81" i="42"/>
  <c r="I81" i="42" s="1"/>
  <c r="H81" i="41"/>
  <c r="I81" i="41" s="1"/>
  <c r="H83" i="40"/>
  <c r="I83" i="40" s="1"/>
  <c r="H82" i="41"/>
  <c r="I82" i="41" s="1"/>
  <c r="H97" i="42"/>
  <c r="I97" i="42" s="1"/>
  <c r="H83" i="42"/>
  <c r="I83" i="42" s="1"/>
  <c r="H78" i="42"/>
  <c r="I78" i="42" s="1"/>
  <c r="H97" i="41"/>
  <c r="I97" i="41" s="1"/>
  <c r="H83" i="41"/>
  <c r="I83" i="41" s="1"/>
  <c r="H78" i="41"/>
  <c r="I78" i="41" s="1"/>
  <c r="H82" i="40"/>
  <c r="I82" i="40" s="1"/>
  <c r="H97" i="40"/>
  <c r="I97" i="40" s="1"/>
  <c r="H78" i="40"/>
  <c r="I78" i="40" s="1"/>
  <c r="H82" i="42"/>
  <c r="I82" i="42" s="1"/>
  <c r="H75" i="40"/>
  <c r="I75" i="40" s="1"/>
  <c r="H101" i="41"/>
  <c r="I101" i="41" s="1"/>
  <c r="H100" i="41"/>
  <c r="I100" i="41" s="1"/>
  <c r="H101" i="42"/>
  <c r="I101" i="42" s="1"/>
  <c r="H72" i="42"/>
  <c r="I72" i="42" s="1"/>
  <c r="H72" i="41"/>
  <c r="I72" i="41" s="1"/>
  <c r="H94" i="40"/>
  <c r="I94" i="40" s="1"/>
  <c r="H101" i="40"/>
  <c r="I101" i="40" s="1"/>
  <c r="H100" i="42"/>
  <c r="I100" i="42" s="1"/>
  <c r="H94" i="42"/>
  <c r="I94" i="42" s="1"/>
  <c r="H75" i="42"/>
  <c r="I75" i="42" s="1"/>
  <c r="H94" i="41"/>
  <c r="I94" i="41" s="1"/>
  <c r="H72" i="40"/>
  <c r="I72" i="40" s="1"/>
  <c r="H75" i="41"/>
  <c r="I75" i="41" s="1"/>
  <c r="H100" i="40"/>
  <c r="I100" i="40" s="1"/>
  <c r="H51" i="42"/>
  <c r="I51" i="42" s="1"/>
  <c r="H44" i="42"/>
  <c r="I44" i="42" s="1"/>
  <c r="P44" i="42" s="1"/>
  <c r="H31" i="42"/>
  <c r="I31" i="42" s="1"/>
  <c r="H27" i="42"/>
  <c r="I27" i="42" s="1"/>
  <c r="P27" i="42" s="1"/>
  <c r="H24" i="42"/>
  <c r="I24" i="42" s="1"/>
  <c r="H41" i="41"/>
  <c r="I41" i="41" s="1"/>
  <c r="H26" i="41"/>
  <c r="I26" i="41" s="1"/>
  <c r="H56" i="40"/>
  <c r="I56" i="40" s="1"/>
  <c r="H47" i="40"/>
  <c r="I47" i="40" s="1"/>
  <c r="H43" i="40"/>
  <c r="I43" i="40" s="1"/>
  <c r="H40" i="40"/>
  <c r="I40" i="40" s="1"/>
  <c r="H35" i="40"/>
  <c r="I35" i="40" s="1"/>
  <c r="H31" i="40"/>
  <c r="I31" i="40" s="1"/>
  <c r="H27" i="40"/>
  <c r="I27" i="40" s="1"/>
  <c r="P27" i="40" s="1"/>
  <c r="H24" i="40"/>
  <c r="I24" i="40" s="1"/>
  <c r="H21" i="40"/>
  <c r="I21" i="40" s="1"/>
  <c r="H56" i="41"/>
  <c r="I56" i="41" s="1"/>
  <c r="H61" i="40"/>
  <c r="I61" i="40" s="1"/>
  <c r="H44" i="40"/>
  <c r="I44" i="40" s="1"/>
  <c r="P44" i="40" s="1"/>
  <c r="H25" i="40"/>
  <c r="I25" i="40" s="1"/>
  <c r="H57" i="42"/>
  <c r="I57" i="42" s="1"/>
  <c r="H40" i="42"/>
  <c r="I40" i="42" s="1"/>
  <c r="H35" i="42"/>
  <c r="I35" i="42" s="1"/>
  <c r="H62" i="41"/>
  <c r="I62" i="41" s="1"/>
  <c r="H55" i="41"/>
  <c r="I55" i="41" s="1"/>
  <c r="H49" i="41"/>
  <c r="I49" i="41" s="1"/>
  <c r="H29" i="41"/>
  <c r="I29" i="41" s="1"/>
  <c r="H23" i="41"/>
  <c r="I23" i="41" s="1"/>
  <c r="H21" i="41"/>
  <c r="I21" i="41" s="1"/>
  <c r="H60" i="40"/>
  <c r="I60" i="40" s="1"/>
  <c r="H56" i="42"/>
  <c r="I56" i="42" s="1"/>
  <c r="H42" i="42"/>
  <c r="I42" i="42" s="1"/>
  <c r="H29" i="42"/>
  <c r="I29" i="42" s="1"/>
  <c r="H61" i="41"/>
  <c r="I61" i="41" s="1"/>
  <c r="H35" i="41"/>
  <c r="I35" i="41" s="1"/>
  <c r="H51" i="40"/>
  <c r="I51" i="40" s="1"/>
  <c r="H29" i="40"/>
  <c r="I29" i="40" s="1"/>
  <c r="H28" i="42"/>
  <c r="I28" i="42" s="1"/>
  <c r="H42" i="41"/>
  <c r="I42" i="41" s="1"/>
  <c r="H61" i="42"/>
  <c r="I61" i="42" s="1"/>
  <c r="H47" i="42"/>
  <c r="I47" i="42" s="1"/>
  <c r="H43" i="42"/>
  <c r="I43" i="42" s="1"/>
  <c r="H30" i="42"/>
  <c r="I30" i="42" s="1"/>
  <c r="H23" i="42"/>
  <c r="I23" i="42" s="1"/>
  <c r="H21" i="42"/>
  <c r="I21" i="42" s="1"/>
  <c r="H51" i="41"/>
  <c r="I51" i="41" s="1"/>
  <c r="H44" i="41"/>
  <c r="I44" i="41" s="1"/>
  <c r="P44" i="41" s="1"/>
  <c r="H40" i="41"/>
  <c r="I40" i="41" s="1"/>
  <c r="H36" i="41"/>
  <c r="I36" i="41" s="1"/>
  <c r="P36" i="41" s="1"/>
  <c r="H42" i="40"/>
  <c r="I42" i="40" s="1"/>
  <c r="H39" i="40"/>
  <c r="I39" i="40" s="1"/>
  <c r="H34" i="40"/>
  <c r="I34" i="40" s="1"/>
  <c r="P34" i="40" s="1"/>
  <c r="H30" i="40"/>
  <c r="I30" i="40" s="1"/>
  <c r="H23" i="40"/>
  <c r="I23" i="40" s="1"/>
  <c r="H43" i="41"/>
  <c r="I43" i="41" s="1"/>
  <c r="H39" i="41"/>
  <c r="I39" i="41" s="1"/>
  <c r="H41" i="42"/>
  <c r="I41" i="42" s="1"/>
  <c r="H25" i="42"/>
  <c r="I25" i="42" s="1"/>
  <c r="H34" i="41"/>
  <c r="I34" i="41" s="1"/>
  <c r="P34" i="41" s="1"/>
  <c r="H65" i="42"/>
  <c r="I65" i="42" s="1"/>
  <c r="P65" i="42" s="1"/>
  <c r="H54" i="42"/>
  <c r="I54" i="42" s="1"/>
  <c r="H50" i="42"/>
  <c r="I50" i="42" s="1"/>
  <c r="H39" i="42"/>
  <c r="I39" i="42" s="1"/>
  <c r="H34" i="42"/>
  <c r="I34" i="42" s="1"/>
  <c r="P34" i="42" s="1"/>
  <c r="H26" i="42"/>
  <c r="I26" i="42" s="1"/>
  <c r="H57" i="41"/>
  <c r="I57" i="41" s="1"/>
  <c r="H48" i="41"/>
  <c r="I48" i="41" s="1"/>
  <c r="H28" i="41"/>
  <c r="I28" i="41" s="1"/>
  <c r="H25" i="41"/>
  <c r="I25" i="41" s="1"/>
  <c r="H62" i="40"/>
  <c r="I62" i="40" s="1"/>
  <c r="H55" i="40"/>
  <c r="I55" i="40" s="1"/>
  <c r="H49" i="40"/>
  <c r="I49" i="40" s="1"/>
  <c r="H26" i="40"/>
  <c r="I26" i="40" s="1"/>
  <c r="H41" i="40"/>
  <c r="I41" i="40" s="1"/>
  <c r="H47" i="41"/>
  <c r="I47" i="41" s="1"/>
  <c r="H36" i="40"/>
  <c r="I36" i="40" s="1"/>
  <c r="P36" i="40" s="1"/>
  <c r="H60" i="42"/>
  <c r="I60" i="42" s="1"/>
  <c r="H49" i="42"/>
  <c r="I49" i="42" s="1"/>
  <c r="H65" i="41"/>
  <c r="I65" i="41" s="1"/>
  <c r="P65" i="41" s="1"/>
  <c r="H54" i="41"/>
  <c r="I54" i="41" s="1"/>
  <c r="H50" i="41"/>
  <c r="I50" i="41" s="1"/>
  <c r="H31" i="41"/>
  <c r="I31" i="41" s="1"/>
  <c r="H27" i="41"/>
  <c r="I27" i="41" s="1"/>
  <c r="P27" i="41" s="1"/>
  <c r="H22" i="41"/>
  <c r="I22" i="41" s="1"/>
  <c r="H57" i="40"/>
  <c r="I57" i="40" s="1"/>
  <c r="H48" i="40"/>
  <c r="I48" i="40" s="1"/>
  <c r="H22" i="40"/>
  <c r="I22" i="40" s="1"/>
  <c r="H22" i="42"/>
  <c r="I22" i="42" s="1"/>
  <c r="H28" i="40"/>
  <c r="I28" i="40" s="1"/>
  <c r="H62" i="42"/>
  <c r="I62" i="42" s="1"/>
  <c r="H55" i="42"/>
  <c r="I55" i="42" s="1"/>
  <c r="H48" i="42"/>
  <c r="I48" i="42" s="1"/>
  <c r="H36" i="42"/>
  <c r="I36" i="42" s="1"/>
  <c r="P36" i="42" s="1"/>
  <c r="H60" i="41"/>
  <c r="I60" i="41" s="1"/>
  <c r="H30" i="41"/>
  <c r="I30" i="41" s="1"/>
  <c r="H24" i="41"/>
  <c r="I24" i="41" s="1"/>
  <c r="H65" i="40"/>
  <c r="I65" i="40" s="1"/>
  <c r="P65" i="40" s="1"/>
  <c r="H54" i="40"/>
  <c r="I54" i="40" s="1"/>
  <c r="H50" i="40"/>
  <c r="I50" i="40" s="1"/>
  <c r="A116" i="34"/>
  <c r="H98" i="36"/>
  <c r="I98" i="36" s="1"/>
  <c r="H89" i="33"/>
  <c r="I89" i="33" s="1"/>
  <c r="H81" i="35"/>
  <c r="I81" i="35" s="1"/>
  <c r="H89" i="34"/>
  <c r="I89" i="34" s="1"/>
  <c r="H91" i="34"/>
  <c r="I91" i="34" s="1"/>
  <c r="H91" i="33"/>
  <c r="I91" i="33" s="1"/>
  <c r="H83" i="35"/>
  <c r="I83" i="35" s="1"/>
  <c r="H100" i="36"/>
  <c r="I100" i="36" s="1"/>
  <c r="H99" i="36"/>
  <c r="I99" i="36" s="1"/>
  <c r="H90" i="34"/>
  <c r="I90" i="34" s="1"/>
  <c r="H82" i="35"/>
  <c r="I82" i="35" s="1"/>
  <c r="H90" i="33"/>
  <c r="I90" i="33" s="1"/>
  <c r="H92" i="26"/>
  <c r="I92" i="26" s="1"/>
  <c r="H91" i="26"/>
  <c r="I91" i="26" s="1"/>
  <c r="H133" i="36"/>
  <c r="I133" i="36" s="1"/>
  <c r="H124" i="36"/>
  <c r="I124" i="36" s="1"/>
  <c r="H132" i="36"/>
  <c r="I132" i="36" s="1"/>
  <c r="H128" i="36"/>
  <c r="I128" i="36" s="1"/>
  <c r="H121" i="36"/>
  <c r="I121" i="36" s="1"/>
  <c r="H127" i="36"/>
  <c r="I127" i="36" s="1"/>
  <c r="H90" i="26"/>
  <c r="I90" i="26" s="1"/>
  <c r="H131" i="36"/>
  <c r="I131" i="36" s="1"/>
  <c r="H61" i="39"/>
  <c r="I61" i="39" s="1"/>
  <c r="H48" i="39"/>
  <c r="I48" i="39" s="1"/>
  <c r="H44" i="39"/>
  <c r="I44" i="39" s="1"/>
  <c r="P44" i="39" s="1"/>
  <c r="H41" i="39"/>
  <c r="I41" i="39" s="1"/>
  <c r="H36" i="39"/>
  <c r="I36" i="39" s="1"/>
  <c r="P36" i="39" s="1"/>
  <c r="H61" i="38"/>
  <c r="I61" i="38" s="1"/>
  <c r="H56" i="38"/>
  <c r="I56" i="38" s="1"/>
  <c r="H51" i="38"/>
  <c r="I51" i="38" s="1"/>
  <c r="H21" i="38"/>
  <c r="I21" i="38" s="1"/>
  <c r="H62" i="36"/>
  <c r="I62" i="36" s="1"/>
  <c r="H57" i="36"/>
  <c r="I57" i="36" s="1"/>
  <c r="H48" i="36"/>
  <c r="I48" i="36" s="1"/>
  <c r="H43" i="36"/>
  <c r="I43" i="36" s="1"/>
  <c r="H39" i="36"/>
  <c r="I39" i="36" s="1"/>
  <c r="H34" i="36"/>
  <c r="I34" i="36" s="1"/>
  <c r="P34" i="36" s="1"/>
  <c r="H29" i="36"/>
  <c r="I29" i="36" s="1"/>
  <c r="H25" i="36"/>
  <c r="I25" i="36" s="1"/>
  <c r="H21" i="36"/>
  <c r="I21" i="36" s="1"/>
  <c r="H54" i="35"/>
  <c r="I54" i="35" s="1"/>
  <c r="H49" i="35"/>
  <c r="I49" i="35" s="1"/>
  <c r="H44" i="35"/>
  <c r="I44" i="35" s="1"/>
  <c r="P44" i="35" s="1"/>
  <c r="H40" i="35"/>
  <c r="I40" i="35" s="1"/>
  <c r="H35" i="35"/>
  <c r="I35" i="35" s="1"/>
  <c r="H30" i="35"/>
  <c r="I30" i="35" s="1"/>
  <c r="H26" i="35"/>
  <c r="I26" i="35" s="1"/>
  <c r="H22" i="35"/>
  <c r="I22" i="35" s="1"/>
  <c r="H65" i="34"/>
  <c r="I65" i="34" s="1"/>
  <c r="P65" i="34" s="1"/>
  <c r="H21" i="34"/>
  <c r="I21" i="34" s="1"/>
  <c r="H43" i="39"/>
  <c r="I43" i="39" s="1"/>
  <c r="H40" i="39"/>
  <c r="I40" i="39" s="1"/>
  <c r="H24" i="39"/>
  <c r="I24" i="39" s="1"/>
  <c r="H65" i="38"/>
  <c r="I65" i="38" s="1"/>
  <c r="P65" i="38" s="1"/>
  <c r="H60" i="38"/>
  <c r="I60" i="38" s="1"/>
  <c r="H55" i="38"/>
  <c r="I55" i="38" s="1"/>
  <c r="H50" i="38"/>
  <c r="I50" i="38" s="1"/>
  <c r="H24" i="38"/>
  <c r="I24" i="38" s="1"/>
  <c r="H61" i="36"/>
  <c r="I61" i="36" s="1"/>
  <c r="H56" i="36"/>
  <c r="I56" i="36" s="1"/>
  <c r="H51" i="36"/>
  <c r="I51" i="36" s="1"/>
  <c r="H47" i="36"/>
  <c r="I47" i="36" s="1"/>
  <c r="H42" i="36"/>
  <c r="I42" i="36" s="1"/>
  <c r="H28" i="36"/>
  <c r="I28" i="36" s="1"/>
  <c r="H24" i="36"/>
  <c r="I24" i="36" s="1"/>
  <c r="H62" i="35"/>
  <c r="I62" i="35" s="1"/>
  <c r="H57" i="35"/>
  <c r="I57" i="35" s="1"/>
  <c r="H48" i="35"/>
  <c r="I48" i="35" s="1"/>
  <c r="H43" i="35"/>
  <c r="I43" i="35" s="1"/>
  <c r="H39" i="35"/>
  <c r="I39" i="35" s="1"/>
  <c r="H34" i="35"/>
  <c r="I34" i="35" s="1"/>
  <c r="P34" i="35" s="1"/>
  <c r="H29" i="35"/>
  <c r="I29" i="35" s="1"/>
  <c r="H25" i="35"/>
  <c r="I25" i="35" s="1"/>
  <c r="H21" i="35"/>
  <c r="I21" i="35" s="1"/>
  <c r="H41" i="34"/>
  <c r="I41" i="34" s="1"/>
  <c r="H36" i="34"/>
  <c r="I36" i="34" s="1"/>
  <c r="P36" i="34" s="1"/>
  <c r="H36" i="33"/>
  <c r="I36" i="33" s="1"/>
  <c r="P36" i="33" s="1"/>
  <c r="H23" i="33"/>
  <c r="I23" i="33" s="1"/>
  <c r="H60" i="39"/>
  <c r="I60" i="39" s="1"/>
  <c r="H47" i="39"/>
  <c r="I47" i="39" s="1"/>
  <c r="H31" i="39"/>
  <c r="I31" i="39" s="1"/>
  <c r="H41" i="38"/>
  <c r="I41" i="38" s="1"/>
  <c r="H36" i="38"/>
  <c r="I36" i="38" s="1"/>
  <c r="P36" i="38" s="1"/>
  <c r="H31" i="38"/>
  <c r="I31" i="38" s="1"/>
  <c r="H27" i="38"/>
  <c r="I27" i="38" s="1"/>
  <c r="P27" i="38" s="1"/>
  <c r="H65" i="37"/>
  <c r="I65" i="37" s="1"/>
  <c r="P65" i="37" s="1"/>
  <c r="H60" i="37"/>
  <c r="I60" i="37" s="1"/>
  <c r="H55" i="37"/>
  <c r="I55" i="37" s="1"/>
  <c r="H50" i="37"/>
  <c r="I50" i="37" s="1"/>
  <c r="H41" i="37"/>
  <c r="I41" i="37" s="1"/>
  <c r="H36" i="37"/>
  <c r="I36" i="37" s="1"/>
  <c r="P36" i="37" s="1"/>
  <c r="H31" i="37"/>
  <c r="I31" i="37" s="1"/>
  <c r="H27" i="37"/>
  <c r="I27" i="37" s="1"/>
  <c r="P27" i="37" s="1"/>
  <c r="H23" i="37"/>
  <c r="I23" i="37" s="1"/>
  <c r="H54" i="34"/>
  <c r="I54" i="34" s="1"/>
  <c r="H49" i="34"/>
  <c r="I49" i="34" s="1"/>
  <c r="H44" i="34"/>
  <c r="I44" i="34" s="1"/>
  <c r="P44" i="34" s="1"/>
  <c r="H31" i="34"/>
  <c r="I31" i="34" s="1"/>
  <c r="H27" i="34"/>
  <c r="I27" i="34" s="1"/>
  <c r="P27" i="34" s="1"/>
  <c r="H23" i="34"/>
  <c r="I23" i="34" s="1"/>
  <c r="H65" i="33"/>
  <c r="I65" i="33" s="1"/>
  <c r="P65" i="33" s="1"/>
  <c r="H60" i="33"/>
  <c r="I60" i="33" s="1"/>
  <c r="H55" i="33"/>
  <c r="I55" i="33" s="1"/>
  <c r="H50" i="33"/>
  <c r="I50" i="33" s="1"/>
  <c r="H41" i="33"/>
  <c r="I41" i="33" s="1"/>
  <c r="H31" i="33"/>
  <c r="I31" i="33" s="1"/>
  <c r="H27" i="33"/>
  <c r="I27" i="33" s="1"/>
  <c r="P27" i="33" s="1"/>
  <c r="H56" i="39"/>
  <c r="I56" i="39" s="1"/>
  <c r="H49" i="39"/>
  <c r="I49" i="39" s="1"/>
  <c r="H42" i="39"/>
  <c r="I42" i="39" s="1"/>
  <c r="H39" i="39"/>
  <c r="I39" i="39" s="1"/>
  <c r="H35" i="39"/>
  <c r="I35" i="39" s="1"/>
  <c r="H26" i="39"/>
  <c r="I26" i="39" s="1"/>
  <c r="H54" i="38"/>
  <c r="I54" i="38" s="1"/>
  <c r="H23" i="38"/>
  <c r="I23" i="38" s="1"/>
  <c r="H65" i="36"/>
  <c r="I65" i="36" s="1"/>
  <c r="P65" i="36" s="1"/>
  <c r="H60" i="36"/>
  <c r="I60" i="36" s="1"/>
  <c r="H55" i="36"/>
  <c r="I55" i="36" s="1"/>
  <c r="H50" i="36"/>
  <c r="I50" i="36" s="1"/>
  <c r="H41" i="36"/>
  <c r="I41" i="36" s="1"/>
  <c r="H36" i="36"/>
  <c r="I36" i="36" s="1"/>
  <c r="P36" i="36" s="1"/>
  <c r="H31" i="36"/>
  <c r="I31" i="36" s="1"/>
  <c r="H27" i="36"/>
  <c r="I27" i="36" s="1"/>
  <c r="P27" i="36" s="1"/>
  <c r="H23" i="36"/>
  <c r="I23" i="36" s="1"/>
  <c r="H61" i="35"/>
  <c r="I61" i="35" s="1"/>
  <c r="H56" i="35"/>
  <c r="I56" i="35" s="1"/>
  <c r="H51" i="35"/>
  <c r="I51" i="35" s="1"/>
  <c r="H47" i="35"/>
  <c r="I47" i="35" s="1"/>
  <c r="H42" i="35"/>
  <c r="I42" i="35" s="1"/>
  <c r="H28" i="35"/>
  <c r="I28" i="35" s="1"/>
  <c r="H24" i="35"/>
  <c r="I24" i="35" s="1"/>
  <c r="H62" i="34"/>
  <c r="I62" i="34" s="1"/>
  <c r="H40" i="34"/>
  <c r="I40" i="34" s="1"/>
  <c r="H35" i="34"/>
  <c r="I35" i="34" s="1"/>
  <c r="H43" i="37"/>
  <c r="I43" i="37" s="1"/>
  <c r="H62" i="39"/>
  <c r="I62" i="39" s="1"/>
  <c r="H30" i="39"/>
  <c r="I30" i="39" s="1"/>
  <c r="H28" i="39"/>
  <c r="I28" i="39" s="1"/>
  <c r="H21" i="39"/>
  <c r="I21" i="39" s="1"/>
  <c r="H49" i="38"/>
  <c r="I49" i="38" s="1"/>
  <c r="H44" i="38"/>
  <c r="I44" i="38" s="1"/>
  <c r="P44" i="38" s="1"/>
  <c r="H40" i="38"/>
  <c r="I40" i="38" s="1"/>
  <c r="H35" i="38"/>
  <c r="I35" i="38" s="1"/>
  <c r="H30" i="38"/>
  <c r="I30" i="38" s="1"/>
  <c r="H26" i="38"/>
  <c r="I26" i="38" s="1"/>
  <c r="H54" i="37"/>
  <c r="I54" i="37" s="1"/>
  <c r="H49" i="37"/>
  <c r="I49" i="37" s="1"/>
  <c r="H44" i="37"/>
  <c r="I44" i="37" s="1"/>
  <c r="P44" i="37" s="1"/>
  <c r="H40" i="37"/>
  <c r="I40" i="37" s="1"/>
  <c r="H35" i="37"/>
  <c r="I35" i="37" s="1"/>
  <c r="H30" i="37"/>
  <c r="I30" i="37" s="1"/>
  <c r="H26" i="37"/>
  <c r="I26" i="37" s="1"/>
  <c r="H22" i="37"/>
  <c r="I22" i="37" s="1"/>
  <c r="H57" i="34"/>
  <c r="I57" i="34" s="1"/>
  <c r="H48" i="34"/>
  <c r="I48" i="34" s="1"/>
  <c r="H43" i="34"/>
  <c r="I43" i="34" s="1"/>
  <c r="H30" i="34"/>
  <c r="I30" i="34" s="1"/>
  <c r="H26" i="34"/>
  <c r="I26" i="34" s="1"/>
  <c r="H54" i="33"/>
  <c r="I54" i="33" s="1"/>
  <c r="H49" i="33"/>
  <c r="I49" i="33" s="1"/>
  <c r="H44" i="33"/>
  <c r="I44" i="33" s="1"/>
  <c r="P44" i="33" s="1"/>
  <c r="H40" i="33"/>
  <c r="I40" i="33" s="1"/>
  <c r="H35" i="33"/>
  <c r="I35" i="33" s="1"/>
  <c r="H30" i="33"/>
  <c r="I30" i="33" s="1"/>
  <c r="H26" i="33"/>
  <c r="I26" i="33" s="1"/>
  <c r="H22" i="33"/>
  <c r="I22" i="33" s="1"/>
  <c r="H39" i="37"/>
  <c r="I39" i="37" s="1"/>
  <c r="H51" i="39"/>
  <c r="I51" i="39" s="1"/>
  <c r="H23" i="39"/>
  <c r="I23" i="39" s="1"/>
  <c r="H62" i="38"/>
  <c r="I62" i="38" s="1"/>
  <c r="H57" i="38"/>
  <c r="I57" i="38" s="1"/>
  <c r="H22" i="38"/>
  <c r="I22" i="38" s="1"/>
  <c r="H54" i="36"/>
  <c r="I54" i="36" s="1"/>
  <c r="H49" i="36"/>
  <c r="I49" i="36" s="1"/>
  <c r="H44" i="36"/>
  <c r="I44" i="36" s="1"/>
  <c r="P44" i="36" s="1"/>
  <c r="H40" i="36"/>
  <c r="I40" i="36" s="1"/>
  <c r="H35" i="36"/>
  <c r="I35" i="36" s="1"/>
  <c r="H30" i="36"/>
  <c r="I30" i="36" s="1"/>
  <c r="H26" i="36"/>
  <c r="I26" i="36" s="1"/>
  <c r="H22" i="36"/>
  <c r="I22" i="36" s="1"/>
  <c r="H65" i="35"/>
  <c r="I65" i="35" s="1"/>
  <c r="P65" i="35" s="1"/>
  <c r="H60" i="35"/>
  <c r="I60" i="35" s="1"/>
  <c r="H55" i="35"/>
  <c r="I55" i="35" s="1"/>
  <c r="H50" i="35"/>
  <c r="I50" i="35" s="1"/>
  <c r="H41" i="35"/>
  <c r="I41" i="35" s="1"/>
  <c r="H36" i="35"/>
  <c r="I36" i="35" s="1"/>
  <c r="P36" i="35" s="1"/>
  <c r="H31" i="35"/>
  <c r="I31" i="35" s="1"/>
  <c r="H27" i="35"/>
  <c r="I27" i="35" s="1"/>
  <c r="P27" i="35" s="1"/>
  <c r="H23" i="35"/>
  <c r="I23" i="35" s="1"/>
  <c r="H39" i="34"/>
  <c r="I39" i="34" s="1"/>
  <c r="H34" i="34"/>
  <c r="I34" i="34" s="1"/>
  <c r="P34" i="34" s="1"/>
  <c r="H22" i="34"/>
  <c r="I22" i="34" s="1"/>
  <c r="H34" i="37"/>
  <c r="I34" i="37" s="1"/>
  <c r="P34" i="37" s="1"/>
  <c r="H65" i="39"/>
  <c r="I65" i="39" s="1"/>
  <c r="P65" i="39" s="1"/>
  <c r="H55" i="39"/>
  <c r="I55" i="39" s="1"/>
  <c r="H34" i="39"/>
  <c r="I34" i="39" s="1"/>
  <c r="P34" i="39" s="1"/>
  <c r="H25" i="39"/>
  <c r="I25" i="39" s="1"/>
  <c r="H48" i="38"/>
  <c r="I48" i="38" s="1"/>
  <c r="H43" i="38"/>
  <c r="I43" i="38" s="1"/>
  <c r="H39" i="38"/>
  <c r="I39" i="38" s="1"/>
  <c r="H34" i="38"/>
  <c r="I34" i="38" s="1"/>
  <c r="P34" i="38" s="1"/>
  <c r="H29" i="38"/>
  <c r="I29" i="38" s="1"/>
  <c r="H25" i="38"/>
  <c r="I25" i="38" s="1"/>
  <c r="H62" i="37"/>
  <c r="I62" i="37" s="1"/>
  <c r="H57" i="37"/>
  <c r="I57" i="37" s="1"/>
  <c r="H48" i="37"/>
  <c r="I48" i="37" s="1"/>
  <c r="H29" i="37"/>
  <c r="I29" i="37" s="1"/>
  <c r="H25" i="37"/>
  <c r="I25" i="37" s="1"/>
  <c r="H21" i="37"/>
  <c r="I21" i="37" s="1"/>
  <c r="H27" i="39"/>
  <c r="I27" i="39" s="1"/>
  <c r="P27" i="39" s="1"/>
  <c r="H61" i="37"/>
  <c r="I61" i="37" s="1"/>
  <c r="H55" i="34"/>
  <c r="I55" i="34" s="1"/>
  <c r="H29" i="34"/>
  <c r="I29" i="34" s="1"/>
  <c r="H24" i="34"/>
  <c r="I24" i="34" s="1"/>
  <c r="H48" i="33"/>
  <c r="I48" i="33" s="1"/>
  <c r="H42" i="34"/>
  <c r="I42" i="34" s="1"/>
  <c r="H29" i="33"/>
  <c r="I29" i="33" s="1"/>
  <c r="H54" i="39"/>
  <c r="I54" i="39" s="1"/>
  <c r="H47" i="37"/>
  <c r="I47" i="37" s="1"/>
  <c r="H60" i="34"/>
  <c r="I60" i="34" s="1"/>
  <c r="H42" i="33"/>
  <c r="I42" i="33" s="1"/>
  <c r="H24" i="33"/>
  <c r="I24" i="33" s="1"/>
  <c r="H28" i="34"/>
  <c r="I28" i="34" s="1"/>
  <c r="H47" i="33"/>
  <c r="I47" i="33" s="1"/>
  <c r="H28" i="33"/>
  <c r="I28" i="33" s="1"/>
  <c r="H25" i="33"/>
  <c r="I25" i="33" s="1"/>
  <c r="H28" i="38"/>
  <c r="I28" i="38" s="1"/>
  <c r="H24" i="37"/>
  <c r="I24" i="37" s="1"/>
  <c r="H47" i="34"/>
  <c r="I47" i="34" s="1"/>
  <c r="H34" i="33"/>
  <c r="I34" i="33" s="1"/>
  <c r="P34" i="33" s="1"/>
  <c r="H42" i="38"/>
  <c r="I42" i="38" s="1"/>
  <c r="H51" i="37"/>
  <c r="I51" i="37" s="1"/>
  <c r="H57" i="33"/>
  <c r="I57" i="33" s="1"/>
  <c r="H51" i="33"/>
  <c r="I51" i="33" s="1"/>
  <c r="H57" i="39"/>
  <c r="I57" i="39" s="1"/>
  <c r="H29" i="39"/>
  <c r="I29" i="39" s="1"/>
  <c r="H51" i="34"/>
  <c r="I51" i="34" s="1"/>
  <c r="H62" i="33"/>
  <c r="I62" i="33" s="1"/>
  <c r="H39" i="33"/>
  <c r="I39" i="33" s="1"/>
  <c r="H21" i="33"/>
  <c r="I21" i="33" s="1"/>
  <c r="H50" i="39"/>
  <c r="I50" i="39" s="1"/>
  <c r="H22" i="39"/>
  <c r="I22" i="39" s="1"/>
  <c r="H47" i="38"/>
  <c r="I47" i="38" s="1"/>
  <c r="H56" i="37"/>
  <c r="I56" i="37" s="1"/>
  <c r="H28" i="37"/>
  <c r="I28" i="37" s="1"/>
  <c r="H56" i="34"/>
  <c r="I56" i="34" s="1"/>
  <c r="H25" i="34"/>
  <c r="I25" i="34" s="1"/>
  <c r="H56" i="33"/>
  <c r="I56" i="33" s="1"/>
  <c r="H42" i="37"/>
  <c r="I42" i="37" s="1"/>
  <c r="H61" i="34"/>
  <c r="I61" i="34" s="1"/>
  <c r="H50" i="34"/>
  <c r="I50" i="34" s="1"/>
  <c r="H61" i="33"/>
  <c r="I61" i="33" s="1"/>
  <c r="H43" i="33"/>
  <c r="I43" i="33" s="1"/>
  <c r="H195" i="36"/>
  <c r="I195" i="36" s="1"/>
  <c r="H194" i="34"/>
  <c r="I194" i="34" s="1"/>
  <c r="H162" i="34"/>
  <c r="I162" i="34" s="1"/>
  <c r="H179" i="33"/>
  <c r="I179" i="33" s="1"/>
  <c r="H163" i="33"/>
  <c r="I163" i="33" s="1"/>
  <c r="H131" i="33"/>
  <c r="I131" i="33" s="1"/>
  <c r="H211" i="36"/>
  <c r="I211" i="36" s="1"/>
  <c r="H147" i="36"/>
  <c r="I147" i="36" s="1"/>
  <c r="H178" i="34"/>
  <c r="I178" i="34" s="1"/>
  <c r="H146" i="34"/>
  <c r="I146" i="34" s="1"/>
  <c r="H211" i="33"/>
  <c r="I211" i="33" s="1"/>
  <c r="H115" i="33"/>
  <c r="I115" i="33" s="1"/>
  <c r="H179" i="36"/>
  <c r="I179" i="36" s="1"/>
  <c r="H114" i="34"/>
  <c r="I114" i="34" s="1"/>
  <c r="H104" i="35"/>
  <c r="I104" i="35" s="1"/>
  <c r="H147" i="33"/>
  <c r="I147" i="33" s="1"/>
  <c r="H195" i="33"/>
  <c r="I195" i="33" s="1"/>
  <c r="H163" i="36"/>
  <c r="I163" i="36" s="1"/>
  <c r="H130" i="34"/>
  <c r="I130" i="34" s="1"/>
  <c r="H86" i="26"/>
  <c r="I86" i="26" s="1"/>
  <c r="P86" i="26" s="1"/>
  <c r="H83" i="36"/>
  <c r="I83" i="36" s="1"/>
  <c r="H78" i="35"/>
  <c r="I78" i="35" s="1"/>
  <c r="H180" i="34"/>
  <c r="I180" i="34" s="1"/>
  <c r="H148" i="34"/>
  <c r="I148" i="34" s="1"/>
  <c r="H116" i="34"/>
  <c r="I116" i="34" s="1"/>
  <c r="H213" i="33"/>
  <c r="I213" i="33" s="1"/>
  <c r="H172" i="33"/>
  <c r="I172" i="33" s="1"/>
  <c r="H164" i="33"/>
  <c r="I164" i="33" s="1"/>
  <c r="H140" i="33"/>
  <c r="I140" i="33" s="1"/>
  <c r="H132" i="33"/>
  <c r="I132" i="33" s="1"/>
  <c r="H117" i="33"/>
  <c r="I117" i="33" s="1"/>
  <c r="H188" i="36"/>
  <c r="I188" i="36" s="1"/>
  <c r="H82" i="36"/>
  <c r="I82" i="36" s="1"/>
  <c r="H187" i="34"/>
  <c r="I187" i="34" s="1"/>
  <c r="H179" i="34"/>
  <c r="I179" i="34" s="1"/>
  <c r="H155" i="34"/>
  <c r="I155" i="34" s="1"/>
  <c r="H147" i="34"/>
  <c r="I147" i="34" s="1"/>
  <c r="H115" i="34"/>
  <c r="I115" i="34" s="1"/>
  <c r="H212" i="33"/>
  <c r="I212" i="33" s="1"/>
  <c r="H149" i="33"/>
  <c r="I149" i="33" s="1"/>
  <c r="H124" i="33"/>
  <c r="I124" i="33" s="1"/>
  <c r="H116" i="33"/>
  <c r="I116" i="33" s="1"/>
  <c r="H204" i="36"/>
  <c r="I204" i="36" s="1"/>
  <c r="H180" i="36"/>
  <c r="I180" i="36" s="1"/>
  <c r="H140" i="36"/>
  <c r="I140" i="36" s="1"/>
  <c r="H86" i="34"/>
  <c r="I86" i="34" s="1"/>
  <c r="H77" i="33"/>
  <c r="I77" i="33" s="1"/>
  <c r="H197" i="36"/>
  <c r="I197" i="36" s="1"/>
  <c r="H104" i="36"/>
  <c r="I104" i="36" s="1"/>
  <c r="H81" i="36"/>
  <c r="I81" i="36" s="1"/>
  <c r="H164" i="34"/>
  <c r="I164" i="34" s="1"/>
  <c r="H181" i="33"/>
  <c r="I181" i="33" s="1"/>
  <c r="H156" i="33"/>
  <c r="I156" i="33" s="1"/>
  <c r="H148" i="33"/>
  <c r="I148" i="33" s="1"/>
  <c r="H165" i="36"/>
  <c r="I165" i="36" s="1"/>
  <c r="H132" i="34"/>
  <c r="I132" i="34" s="1"/>
  <c r="H85" i="34"/>
  <c r="I85" i="34" s="1"/>
  <c r="H197" i="33"/>
  <c r="I197" i="33" s="1"/>
  <c r="H196" i="36"/>
  <c r="I196" i="36" s="1"/>
  <c r="H103" i="36"/>
  <c r="I103" i="36" s="1"/>
  <c r="H84" i="36"/>
  <c r="I84" i="36" s="1"/>
  <c r="H171" i="34"/>
  <c r="I171" i="34" s="1"/>
  <c r="H163" i="34"/>
  <c r="I163" i="34" s="1"/>
  <c r="H204" i="33"/>
  <c r="I204" i="33" s="1"/>
  <c r="H180" i="33"/>
  <c r="I180" i="33" s="1"/>
  <c r="H165" i="33"/>
  <c r="I165" i="33" s="1"/>
  <c r="H133" i="33"/>
  <c r="I133" i="33" s="1"/>
  <c r="H108" i="33"/>
  <c r="I108" i="33" s="1"/>
  <c r="H213" i="36"/>
  <c r="I213" i="36" s="1"/>
  <c r="H172" i="36"/>
  <c r="I172" i="36" s="1"/>
  <c r="H164" i="36"/>
  <c r="I164" i="36" s="1"/>
  <c r="H149" i="36"/>
  <c r="I149" i="36" s="1"/>
  <c r="H97" i="35"/>
  <c r="I97" i="35" s="1"/>
  <c r="H148" i="36"/>
  <c r="I148" i="36" s="1"/>
  <c r="H188" i="33"/>
  <c r="I188" i="33" s="1"/>
  <c r="H212" i="36"/>
  <c r="I212" i="36" s="1"/>
  <c r="H196" i="33"/>
  <c r="I196" i="33" s="1"/>
  <c r="H156" i="36"/>
  <c r="I156" i="36" s="1"/>
  <c r="H86" i="33"/>
  <c r="I86" i="33" s="1"/>
  <c r="H107" i="34"/>
  <c r="I107" i="34" s="1"/>
  <c r="H181" i="36"/>
  <c r="I181" i="36" s="1"/>
  <c r="H77" i="34"/>
  <c r="I77" i="34" s="1"/>
  <c r="H131" i="34"/>
  <c r="I131" i="34" s="1"/>
  <c r="H123" i="34"/>
  <c r="I123" i="34" s="1"/>
  <c r="H85" i="33"/>
  <c r="I85" i="33" s="1"/>
  <c r="H139" i="34"/>
  <c r="I139" i="34" s="1"/>
  <c r="H145" i="26"/>
  <c r="I145" i="26" s="1"/>
  <c r="P145" i="26" s="1"/>
  <c r="H91" i="36"/>
  <c r="I91" i="36" s="1"/>
  <c r="H207" i="36"/>
  <c r="I207" i="36" s="1"/>
  <c r="H176" i="36"/>
  <c r="I176" i="36" s="1"/>
  <c r="H143" i="36"/>
  <c r="I143" i="36" s="1"/>
  <c r="H78" i="36"/>
  <c r="I78" i="36" s="1"/>
  <c r="H74" i="36"/>
  <c r="I74" i="36" s="1"/>
  <c r="H111" i="34"/>
  <c r="I111" i="34" s="1"/>
  <c r="H82" i="34"/>
  <c r="I82" i="34" s="1"/>
  <c r="H159" i="33"/>
  <c r="I159" i="33" s="1"/>
  <c r="H80" i="33"/>
  <c r="I80" i="33" s="1"/>
  <c r="H95" i="36"/>
  <c r="I95" i="36" s="1"/>
  <c r="H90" i="36"/>
  <c r="I90" i="36" s="1"/>
  <c r="H169" i="36"/>
  <c r="I169" i="36" s="1"/>
  <c r="H77" i="36"/>
  <c r="I77" i="36" s="1"/>
  <c r="H73" i="36"/>
  <c r="I73" i="36" s="1"/>
  <c r="H101" i="35"/>
  <c r="I101" i="35" s="1"/>
  <c r="H94" i="35"/>
  <c r="I94" i="35" s="1"/>
  <c r="H174" i="34"/>
  <c r="I174" i="34" s="1"/>
  <c r="H142" i="34"/>
  <c r="I142" i="34" s="1"/>
  <c r="H136" i="34"/>
  <c r="I136" i="34" s="1"/>
  <c r="H81" i="34"/>
  <c r="I81" i="34" s="1"/>
  <c r="H207" i="33"/>
  <c r="I207" i="33" s="1"/>
  <c r="H111" i="33"/>
  <c r="I111" i="33" s="1"/>
  <c r="H71" i="38"/>
  <c r="I71" i="38" s="1"/>
  <c r="H192" i="36"/>
  <c r="I192" i="36" s="1"/>
  <c r="H175" i="36"/>
  <c r="I175" i="36" s="1"/>
  <c r="H87" i="36"/>
  <c r="I87" i="36" s="1"/>
  <c r="H75" i="35"/>
  <c r="I75" i="35" s="1"/>
  <c r="H191" i="34"/>
  <c r="I191" i="34" s="1"/>
  <c r="H159" i="34"/>
  <c r="I159" i="34" s="1"/>
  <c r="H110" i="34"/>
  <c r="I110" i="34" s="1"/>
  <c r="H104" i="34"/>
  <c r="I104" i="34" s="1"/>
  <c r="H74" i="34"/>
  <c r="I74" i="34" s="1"/>
  <c r="H176" i="33"/>
  <c r="I176" i="33" s="1"/>
  <c r="H169" i="33"/>
  <c r="I169" i="33" s="1"/>
  <c r="H137" i="33"/>
  <c r="I137" i="33" s="1"/>
  <c r="H72" i="33"/>
  <c r="I72" i="33" s="1"/>
  <c r="H71" i="37"/>
  <c r="I71" i="37" s="1"/>
  <c r="H94" i="36"/>
  <c r="I94" i="36" s="1"/>
  <c r="H89" i="36"/>
  <c r="I89" i="36" s="1"/>
  <c r="H160" i="36"/>
  <c r="I160" i="36" s="1"/>
  <c r="H153" i="36"/>
  <c r="I153" i="36" s="1"/>
  <c r="H76" i="36"/>
  <c r="I76" i="36" s="1"/>
  <c r="H72" i="36"/>
  <c r="I72" i="36" s="1"/>
  <c r="H100" i="35"/>
  <c r="I100" i="35" s="1"/>
  <c r="H127" i="34"/>
  <c r="I127" i="34" s="1"/>
  <c r="H80" i="34"/>
  <c r="I80" i="34" s="1"/>
  <c r="H192" i="33"/>
  <c r="I192" i="33" s="1"/>
  <c r="H185" i="33"/>
  <c r="I185" i="33" s="1"/>
  <c r="H143" i="33"/>
  <c r="I143" i="33" s="1"/>
  <c r="H82" i="33"/>
  <c r="I82" i="33" s="1"/>
  <c r="H185" i="36"/>
  <c r="I185" i="36" s="1"/>
  <c r="H184" i="34"/>
  <c r="I184" i="34" s="1"/>
  <c r="H152" i="34"/>
  <c r="I152" i="34" s="1"/>
  <c r="H120" i="34"/>
  <c r="I120" i="34" s="1"/>
  <c r="H73" i="34"/>
  <c r="I73" i="34" s="1"/>
  <c r="H175" i="33"/>
  <c r="I175" i="33" s="1"/>
  <c r="H160" i="33"/>
  <c r="I160" i="33" s="1"/>
  <c r="H128" i="33"/>
  <c r="I128" i="33" s="1"/>
  <c r="H121" i="33"/>
  <c r="I121" i="33" s="1"/>
  <c r="H92" i="36"/>
  <c r="I92" i="36" s="1"/>
  <c r="H88" i="36"/>
  <c r="I88" i="36" s="1"/>
  <c r="H191" i="36"/>
  <c r="I191" i="36" s="1"/>
  <c r="H208" i="36"/>
  <c r="I208" i="36" s="1"/>
  <c r="H201" i="36"/>
  <c r="I201" i="36" s="1"/>
  <c r="H159" i="36"/>
  <c r="I159" i="36" s="1"/>
  <c r="H144" i="36"/>
  <c r="I144" i="36" s="1"/>
  <c r="H137" i="36"/>
  <c r="I137" i="36" s="1"/>
  <c r="H75" i="36"/>
  <c r="I75" i="36" s="1"/>
  <c r="H190" i="34"/>
  <c r="I190" i="34" s="1"/>
  <c r="H158" i="34"/>
  <c r="I158" i="34" s="1"/>
  <c r="H126" i="34"/>
  <c r="I126" i="34" s="1"/>
  <c r="H191" i="33"/>
  <c r="I191" i="33" s="1"/>
  <c r="H81" i="33"/>
  <c r="I81" i="33" s="1"/>
  <c r="H72" i="35"/>
  <c r="I72" i="35" s="1"/>
  <c r="H75" i="37"/>
  <c r="I75" i="37" s="1"/>
  <c r="H73" i="33"/>
  <c r="I73" i="33" s="1"/>
  <c r="H93" i="36"/>
  <c r="I93" i="36" s="1"/>
  <c r="H143" i="34"/>
  <c r="I143" i="34" s="1"/>
  <c r="H72" i="34"/>
  <c r="I72" i="34" s="1"/>
  <c r="H127" i="33"/>
  <c r="I127" i="33" s="1"/>
  <c r="H201" i="33"/>
  <c r="I201" i="33" s="1"/>
  <c r="H74" i="37"/>
  <c r="I74" i="37" s="1"/>
  <c r="H208" i="33"/>
  <c r="I208" i="33" s="1"/>
  <c r="H144" i="33"/>
  <c r="I144" i="33" s="1"/>
  <c r="H72" i="38"/>
  <c r="I72" i="38" s="1"/>
  <c r="H153" i="33"/>
  <c r="I153" i="33" s="1"/>
  <c r="H175" i="34"/>
  <c r="I175" i="34" s="1"/>
  <c r="H168" i="34"/>
  <c r="I168" i="34" s="1"/>
  <c r="H112" i="33"/>
  <c r="I112" i="33" s="1"/>
  <c r="H105" i="33"/>
  <c r="I105" i="33" s="1"/>
  <c r="H74" i="33"/>
  <c r="I74" i="33" s="1"/>
  <c r="H113" i="26"/>
  <c r="I113" i="26" s="1"/>
  <c r="P113" i="26" s="1"/>
  <c r="H129" i="26"/>
  <c r="I129" i="26" s="1"/>
  <c r="H209" i="26"/>
  <c r="I209" i="26" s="1"/>
  <c r="P209" i="26" s="1"/>
  <c r="H161" i="26"/>
  <c r="I161" i="26" s="1"/>
  <c r="P161" i="26" s="1"/>
  <c r="H193" i="26"/>
  <c r="I193" i="26" s="1"/>
  <c r="H82" i="26"/>
  <c r="I82" i="26" s="1"/>
  <c r="P82" i="26" s="1"/>
  <c r="H176" i="26"/>
  <c r="I176" i="26" s="1"/>
  <c r="H83" i="26"/>
  <c r="I83" i="26" s="1"/>
  <c r="H81" i="26"/>
  <c r="I81" i="26" s="1"/>
  <c r="H74" i="26"/>
  <c r="I74" i="26" s="1"/>
  <c r="H78" i="26"/>
  <c r="I78" i="26" s="1"/>
  <c r="H73" i="26"/>
  <c r="I73" i="26" s="1"/>
  <c r="P73" i="26" s="1"/>
  <c r="H72" i="26"/>
  <c r="I72" i="26" s="1"/>
  <c r="P72" i="26" s="1"/>
  <c r="H212" i="26"/>
  <c r="I212" i="26" s="1"/>
  <c r="L212" i="26" s="1"/>
  <c r="N212" i="26" s="1"/>
  <c r="H214" i="26"/>
  <c r="I214" i="26" s="1"/>
  <c r="L214" i="26" s="1"/>
  <c r="N214" i="26" s="1"/>
  <c r="H213" i="26"/>
  <c r="I213" i="26" s="1"/>
  <c r="L213" i="26" s="1"/>
  <c r="N213" i="26" s="1"/>
  <c r="H198" i="26"/>
  <c r="I198" i="26" s="1"/>
  <c r="L198" i="26" s="1"/>
  <c r="N198" i="26" s="1"/>
  <c r="H197" i="26"/>
  <c r="I197" i="26" s="1"/>
  <c r="L197" i="26" s="1"/>
  <c r="N197" i="26" s="1"/>
  <c r="H180" i="26"/>
  <c r="I180" i="26" s="1"/>
  <c r="H196" i="26"/>
  <c r="I196" i="26" s="1"/>
  <c r="L196" i="26" s="1"/>
  <c r="N196" i="26" s="1"/>
  <c r="H182" i="26"/>
  <c r="I182" i="26" s="1"/>
  <c r="L182" i="26" s="1"/>
  <c r="N182" i="26" s="1"/>
  <c r="H181" i="26"/>
  <c r="I181" i="26" s="1"/>
  <c r="L181" i="26" s="1"/>
  <c r="N181" i="26" s="1"/>
  <c r="H166" i="26"/>
  <c r="I166" i="26" s="1"/>
  <c r="L166" i="26" s="1"/>
  <c r="N166" i="26" s="1"/>
  <c r="H164" i="26"/>
  <c r="I164" i="26" s="1"/>
  <c r="L164" i="26" s="1"/>
  <c r="N164" i="26" s="1"/>
  <c r="H165" i="26"/>
  <c r="I165" i="26" s="1"/>
  <c r="L165" i="26" s="1"/>
  <c r="N165" i="26" s="1"/>
  <c r="H150" i="26"/>
  <c r="I150" i="26" s="1"/>
  <c r="L150" i="26" s="1"/>
  <c r="N150" i="26" s="1"/>
  <c r="H148" i="26"/>
  <c r="I148" i="26" s="1"/>
  <c r="L148" i="26" s="1"/>
  <c r="N148" i="26" s="1"/>
  <c r="H149" i="26"/>
  <c r="I149" i="26" s="1"/>
  <c r="L149" i="26" s="1"/>
  <c r="N149" i="26" s="1"/>
  <c r="H134" i="26"/>
  <c r="I134" i="26" s="1"/>
  <c r="L134" i="26" s="1"/>
  <c r="N134" i="26" s="1"/>
  <c r="H132" i="26"/>
  <c r="I132" i="26" s="1"/>
  <c r="L132" i="26" s="1"/>
  <c r="N132" i="26" s="1"/>
  <c r="H133" i="26"/>
  <c r="I133" i="26" s="1"/>
  <c r="L133" i="26" s="1"/>
  <c r="N133" i="26" s="1"/>
  <c r="H118" i="26"/>
  <c r="I118" i="26" s="1"/>
  <c r="L118" i="26" s="1"/>
  <c r="N118" i="26" s="1"/>
  <c r="H116" i="26"/>
  <c r="I116" i="26" s="1"/>
  <c r="L116" i="26" s="1"/>
  <c r="N116" i="26" s="1"/>
  <c r="H117" i="26"/>
  <c r="I117" i="26" s="1"/>
  <c r="L117" i="26" s="1"/>
  <c r="N117" i="26" s="1"/>
  <c r="H202" i="26"/>
  <c r="I202" i="26" s="1"/>
  <c r="L202" i="26" s="1"/>
  <c r="N202" i="26" s="1"/>
  <c r="H186" i="26"/>
  <c r="I186" i="26" s="1"/>
  <c r="L186" i="26" s="1"/>
  <c r="N186" i="26" s="1"/>
  <c r="H170" i="26"/>
  <c r="I170" i="26" s="1"/>
  <c r="L170" i="26" s="1"/>
  <c r="N170" i="26" s="1"/>
  <c r="H138" i="26"/>
  <c r="I138" i="26" s="1"/>
  <c r="H154" i="26"/>
  <c r="I154" i="26" s="1"/>
  <c r="L154" i="26" s="1"/>
  <c r="N154" i="26" s="1"/>
  <c r="H122" i="26"/>
  <c r="I122" i="26" s="1"/>
  <c r="L122" i="26" s="1"/>
  <c r="N122" i="26" s="1"/>
  <c r="H106" i="26"/>
  <c r="I106" i="26" s="1"/>
  <c r="L106" i="26" s="1"/>
  <c r="N106" i="26" s="1"/>
  <c r="H192" i="26"/>
  <c r="I192" i="26" s="1"/>
  <c r="H208" i="26"/>
  <c r="I208" i="26" s="1"/>
  <c r="L208" i="26" s="1"/>
  <c r="N208" i="26" s="1"/>
  <c r="H205" i="26"/>
  <c r="I205" i="26" s="1"/>
  <c r="L205" i="26" s="1"/>
  <c r="N205" i="26" s="1"/>
  <c r="H189" i="26"/>
  <c r="I189" i="26" s="1"/>
  <c r="L189" i="26" s="1"/>
  <c r="N189" i="26" s="1"/>
  <c r="H177" i="26"/>
  <c r="I177" i="26" s="1"/>
  <c r="L177" i="26" s="1"/>
  <c r="N177" i="26" s="1"/>
  <c r="H173" i="26"/>
  <c r="I173" i="26" s="1"/>
  <c r="L173" i="26" s="1"/>
  <c r="N173" i="26" s="1"/>
  <c r="H160" i="26"/>
  <c r="I160" i="26" s="1"/>
  <c r="L160" i="26" s="1"/>
  <c r="N160" i="26" s="1"/>
  <c r="H157" i="26"/>
  <c r="I157" i="26" s="1"/>
  <c r="L157" i="26" s="1"/>
  <c r="N157" i="26" s="1"/>
  <c r="H144" i="26"/>
  <c r="I144" i="26" s="1"/>
  <c r="L144" i="26" s="1"/>
  <c r="N144" i="26" s="1"/>
  <c r="H141" i="26"/>
  <c r="I141" i="26" s="1"/>
  <c r="L141" i="26" s="1"/>
  <c r="N141" i="26" s="1"/>
  <c r="H128" i="26"/>
  <c r="I128" i="26" s="1"/>
  <c r="L128" i="26" s="1"/>
  <c r="N128" i="26" s="1"/>
  <c r="H125" i="26"/>
  <c r="I125" i="26" s="1"/>
  <c r="L125" i="26" s="1"/>
  <c r="N125" i="26" s="1"/>
  <c r="H112" i="26"/>
  <c r="I112" i="26" s="1"/>
  <c r="L112" i="26" s="1"/>
  <c r="N112" i="26" s="1"/>
  <c r="H109" i="26"/>
  <c r="I109" i="26" s="1"/>
  <c r="L109" i="26" s="1"/>
  <c r="N109" i="26" s="1"/>
  <c r="H87" i="26"/>
  <c r="I87" i="26" s="1"/>
  <c r="H77" i="26"/>
  <c r="I77" i="26" s="1"/>
  <c r="H55" i="26"/>
  <c r="I55" i="26" s="1"/>
  <c r="P55" i="26" s="1"/>
  <c r="H43" i="26"/>
  <c r="I43" i="26" s="1"/>
  <c r="H31" i="26"/>
  <c r="I31" i="26" s="1"/>
  <c r="P31" i="26" s="1"/>
  <c r="H23" i="26"/>
  <c r="I23" i="26" s="1"/>
  <c r="H54" i="26"/>
  <c r="I54" i="26" s="1"/>
  <c r="H42" i="26"/>
  <c r="I42" i="26" s="1"/>
  <c r="H30" i="26"/>
  <c r="I30" i="26" s="1"/>
  <c r="H22" i="26"/>
  <c r="I22" i="26" s="1"/>
  <c r="H65" i="26"/>
  <c r="I65" i="26" s="1"/>
  <c r="P65" i="26" s="1"/>
  <c r="H51" i="26"/>
  <c r="I51" i="26" s="1"/>
  <c r="H41" i="26"/>
  <c r="I41" i="26" s="1"/>
  <c r="H29" i="26"/>
  <c r="I29" i="26" s="1"/>
  <c r="H62" i="26"/>
  <c r="I62" i="26" s="1"/>
  <c r="H50" i="26"/>
  <c r="I50" i="26" s="1"/>
  <c r="H40" i="26"/>
  <c r="I40" i="26" s="1"/>
  <c r="H28" i="26"/>
  <c r="I28" i="26" s="1"/>
  <c r="H61" i="26"/>
  <c r="I61" i="26" s="1"/>
  <c r="H49" i="26"/>
  <c r="I49" i="26" s="1"/>
  <c r="H39" i="26"/>
  <c r="I39" i="26" s="1"/>
  <c r="H27" i="26"/>
  <c r="I27" i="26" s="1"/>
  <c r="P27" i="26" s="1"/>
  <c r="H60" i="26"/>
  <c r="I60" i="26" s="1"/>
  <c r="H48" i="26"/>
  <c r="I48" i="26" s="1"/>
  <c r="H36" i="26"/>
  <c r="I36" i="26" s="1"/>
  <c r="P36" i="26" s="1"/>
  <c r="H26" i="26"/>
  <c r="I26" i="26" s="1"/>
  <c r="H56" i="26"/>
  <c r="I56" i="26" s="1"/>
  <c r="H44" i="26"/>
  <c r="I44" i="26" s="1"/>
  <c r="P44" i="26" s="1"/>
  <c r="H34" i="26"/>
  <c r="I34" i="26" s="1"/>
  <c r="P34" i="26" s="1"/>
  <c r="H24" i="26"/>
  <c r="I24" i="26" s="1"/>
  <c r="H47" i="26"/>
  <c r="I47" i="26" s="1"/>
  <c r="H35" i="26"/>
  <c r="I35" i="26" s="1"/>
  <c r="P35" i="26" s="1"/>
  <c r="H25" i="26"/>
  <c r="I25" i="26" s="1"/>
  <c r="H57" i="26"/>
  <c r="I57" i="26" s="1"/>
  <c r="H21" i="26"/>
  <c r="I21" i="26" s="1"/>
  <c r="L28" i="40" l="1"/>
  <c r="N28" i="40" s="1"/>
  <c r="P28" i="40"/>
  <c r="Q28" i="40" s="1"/>
  <c r="L50" i="41"/>
  <c r="N50" i="41" s="1"/>
  <c r="P50" i="41"/>
  <c r="Q50" i="41" s="1"/>
  <c r="P26" i="40"/>
  <c r="L26" i="40"/>
  <c r="N26" i="40" s="1"/>
  <c r="S26" i="40" s="1"/>
  <c r="T26" i="40" s="1"/>
  <c r="P26" i="42"/>
  <c r="L26" i="42"/>
  <c r="N26" i="42" s="1"/>
  <c r="P41" i="42"/>
  <c r="L41" i="42"/>
  <c r="N41" i="42" s="1"/>
  <c r="P47" i="42"/>
  <c r="L47" i="42"/>
  <c r="N47" i="42" s="1"/>
  <c r="P29" i="42"/>
  <c r="L29" i="42"/>
  <c r="N29" i="42" s="1"/>
  <c r="S29" i="42" s="1"/>
  <c r="T29" i="42" s="1"/>
  <c r="L55" i="41"/>
  <c r="N55" i="41" s="1"/>
  <c r="S55" i="41" s="1"/>
  <c r="T55" i="41" s="1"/>
  <c r="P55" i="41"/>
  <c r="P56" i="41"/>
  <c r="L56" i="41"/>
  <c r="N56" i="41" s="1"/>
  <c r="S56" i="41" s="1"/>
  <c r="T56" i="41" s="1"/>
  <c r="P47" i="40"/>
  <c r="L47" i="40"/>
  <c r="N47" i="40" s="1"/>
  <c r="S47" i="40" s="1"/>
  <c r="T47" i="40" s="1"/>
  <c r="P51" i="42"/>
  <c r="L51" i="42"/>
  <c r="N51" i="42" s="1"/>
  <c r="S51" i="42" s="1"/>
  <c r="T51" i="42" s="1"/>
  <c r="L101" i="40"/>
  <c r="N101" i="40" s="1"/>
  <c r="P101" i="40"/>
  <c r="P105" i="42"/>
  <c r="L105" i="42"/>
  <c r="N105" i="42" s="1"/>
  <c r="S105" i="42" s="1"/>
  <c r="T105" i="42" s="1"/>
  <c r="L78" i="41"/>
  <c r="N78" i="41" s="1"/>
  <c r="P78" i="41"/>
  <c r="L54" i="41"/>
  <c r="N54" i="41" s="1"/>
  <c r="P54" i="41"/>
  <c r="P61" i="42"/>
  <c r="L61" i="42"/>
  <c r="N61" i="42" s="1"/>
  <c r="S61" i="42" s="1"/>
  <c r="T61" i="42" s="1"/>
  <c r="L42" i="42"/>
  <c r="N42" i="42" s="1"/>
  <c r="P42" i="42"/>
  <c r="Q42" i="42" s="1"/>
  <c r="P62" i="41"/>
  <c r="L62" i="41"/>
  <c r="N62" i="41" s="1"/>
  <c r="S62" i="41" s="1"/>
  <c r="T62" i="41" s="1"/>
  <c r="L21" i="40"/>
  <c r="P21" i="40"/>
  <c r="P82" i="42"/>
  <c r="L82" i="42"/>
  <c r="N82" i="42" s="1"/>
  <c r="S82" i="42" s="1"/>
  <c r="T82" i="42" s="1"/>
  <c r="L83" i="40"/>
  <c r="N83" i="40" s="1"/>
  <c r="P83" i="40"/>
  <c r="Q83" i="40" s="1"/>
  <c r="P30" i="41"/>
  <c r="L30" i="41"/>
  <c r="N30" i="41" s="1"/>
  <c r="S30" i="41" s="1"/>
  <c r="T30" i="41" s="1"/>
  <c r="P22" i="40"/>
  <c r="L22" i="40"/>
  <c r="N22" i="40" s="1"/>
  <c r="L55" i="40"/>
  <c r="N55" i="40" s="1"/>
  <c r="P55" i="40"/>
  <c r="P39" i="42"/>
  <c r="L39" i="42"/>
  <c r="N39" i="42" s="1"/>
  <c r="S39" i="42" s="1"/>
  <c r="T39" i="42" s="1"/>
  <c r="P43" i="41"/>
  <c r="Q43" i="41" s="1"/>
  <c r="L43" i="41"/>
  <c r="N43" i="41" s="1"/>
  <c r="L42" i="41"/>
  <c r="N42" i="41" s="1"/>
  <c r="P42" i="41"/>
  <c r="P56" i="42"/>
  <c r="L56" i="42"/>
  <c r="N56" i="42" s="1"/>
  <c r="P35" i="42"/>
  <c r="L35" i="42"/>
  <c r="N35" i="42" s="1"/>
  <c r="S35" i="42" s="1"/>
  <c r="T35" i="42" s="1"/>
  <c r="L24" i="40"/>
  <c r="N24" i="40" s="1"/>
  <c r="S24" i="40" s="1"/>
  <c r="T24" i="40" s="1"/>
  <c r="P24" i="40"/>
  <c r="P26" i="41"/>
  <c r="L26" i="41"/>
  <c r="N26" i="41" s="1"/>
  <c r="S26" i="41" s="1"/>
  <c r="T26" i="41" s="1"/>
  <c r="L75" i="41"/>
  <c r="N75" i="41" s="1"/>
  <c r="S75" i="41" s="1"/>
  <c r="T75" i="41" s="1"/>
  <c r="P75" i="41"/>
  <c r="P72" i="41"/>
  <c r="L72" i="41"/>
  <c r="N72" i="41" s="1"/>
  <c r="S72" i="41" s="1"/>
  <c r="T72" i="41" s="1"/>
  <c r="L78" i="40"/>
  <c r="N78" i="40" s="1"/>
  <c r="P78" i="40"/>
  <c r="L97" i="41"/>
  <c r="N97" i="41" s="1"/>
  <c r="P97" i="41"/>
  <c r="L81" i="41"/>
  <c r="N81" i="41" s="1"/>
  <c r="P81" i="41"/>
  <c r="L24" i="41"/>
  <c r="N24" i="41" s="1"/>
  <c r="P24" i="41"/>
  <c r="Q24" i="41" s="1"/>
  <c r="P39" i="41"/>
  <c r="Q39" i="41" s="1"/>
  <c r="L39" i="41"/>
  <c r="N39" i="41" s="1"/>
  <c r="L83" i="41"/>
  <c r="N83" i="41" s="1"/>
  <c r="P83" i="41"/>
  <c r="Q83" i="41" s="1"/>
  <c r="L60" i="41"/>
  <c r="N60" i="41" s="1"/>
  <c r="P60" i="41"/>
  <c r="L48" i="40"/>
  <c r="N48" i="40" s="1"/>
  <c r="P48" i="40"/>
  <c r="Q48" i="40" s="1"/>
  <c r="L49" i="42"/>
  <c r="N49" i="42" s="1"/>
  <c r="P49" i="42"/>
  <c r="P62" i="40"/>
  <c r="L62" i="40"/>
  <c r="N62" i="40" s="1"/>
  <c r="S62" i="40" s="1"/>
  <c r="T62" i="40" s="1"/>
  <c r="L50" i="42"/>
  <c r="N50" i="42" s="1"/>
  <c r="P50" i="42"/>
  <c r="P23" i="40"/>
  <c r="L23" i="40"/>
  <c r="N23" i="40" s="1"/>
  <c r="S23" i="40" s="1"/>
  <c r="T23" i="40" s="1"/>
  <c r="P51" i="41"/>
  <c r="L51" i="41"/>
  <c r="N51" i="41" s="1"/>
  <c r="L28" i="42"/>
  <c r="N28" i="42" s="1"/>
  <c r="P28" i="42"/>
  <c r="Q28" i="42" s="1"/>
  <c r="L60" i="40"/>
  <c r="N60" i="40" s="1"/>
  <c r="S60" i="40" s="1"/>
  <c r="T60" i="40" s="1"/>
  <c r="P60" i="40"/>
  <c r="P40" i="42"/>
  <c r="L40" i="42"/>
  <c r="N40" i="42" s="1"/>
  <c r="S40" i="42" s="1"/>
  <c r="T40" i="42" s="1"/>
  <c r="L41" i="41"/>
  <c r="N41" i="41" s="1"/>
  <c r="S41" i="41" s="1"/>
  <c r="T41" i="41" s="1"/>
  <c r="P41" i="41"/>
  <c r="P72" i="40"/>
  <c r="L72" i="40"/>
  <c r="N72" i="40" s="1"/>
  <c r="S72" i="40" s="1"/>
  <c r="T72" i="40" s="1"/>
  <c r="P72" i="42"/>
  <c r="L72" i="42"/>
  <c r="N72" i="42" s="1"/>
  <c r="S72" i="42" s="1"/>
  <c r="T72" i="42" s="1"/>
  <c r="L97" i="40"/>
  <c r="N97" i="40" s="1"/>
  <c r="P97" i="40"/>
  <c r="P81" i="42"/>
  <c r="L81" i="42"/>
  <c r="N81" i="42" s="1"/>
  <c r="S81" i="42" s="1"/>
  <c r="T81" i="42" s="1"/>
  <c r="L49" i="40"/>
  <c r="N49" i="40" s="1"/>
  <c r="P49" i="40"/>
  <c r="Q49" i="40" s="1"/>
  <c r="P100" i="40"/>
  <c r="L100" i="40"/>
  <c r="N100" i="40" s="1"/>
  <c r="P57" i="40"/>
  <c r="L57" i="40"/>
  <c r="N57" i="40" s="1"/>
  <c r="S57" i="40" s="1"/>
  <c r="T57" i="40" s="1"/>
  <c r="L60" i="42"/>
  <c r="N60" i="42" s="1"/>
  <c r="P60" i="42"/>
  <c r="L25" i="41"/>
  <c r="N25" i="41" s="1"/>
  <c r="P25" i="41"/>
  <c r="L54" i="42"/>
  <c r="N54" i="42" s="1"/>
  <c r="P54" i="42"/>
  <c r="P30" i="40"/>
  <c r="L30" i="40"/>
  <c r="N30" i="40" s="1"/>
  <c r="S30" i="40" s="1"/>
  <c r="T30" i="40" s="1"/>
  <c r="L21" i="42"/>
  <c r="P21" i="42"/>
  <c r="L29" i="40"/>
  <c r="N29" i="40" s="1"/>
  <c r="P29" i="40"/>
  <c r="Q29" i="40" s="1"/>
  <c r="L21" i="41"/>
  <c r="P21" i="41"/>
  <c r="P57" i="42"/>
  <c r="L57" i="42"/>
  <c r="N57" i="42" s="1"/>
  <c r="S57" i="42" s="1"/>
  <c r="T57" i="42" s="1"/>
  <c r="P31" i="40"/>
  <c r="L31" i="40"/>
  <c r="N31" i="40" s="1"/>
  <c r="L24" i="42"/>
  <c r="N24" i="42" s="1"/>
  <c r="P24" i="42"/>
  <c r="Q24" i="42" s="1"/>
  <c r="P94" i="41"/>
  <c r="Q94" i="41" s="1"/>
  <c r="L94" i="41"/>
  <c r="N94" i="41" s="1"/>
  <c r="L101" i="42"/>
  <c r="N101" i="42" s="1"/>
  <c r="P101" i="42"/>
  <c r="P105" i="40"/>
  <c r="L105" i="40"/>
  <c r="N105" i="40" s="1"/>
  <c r="P78" i="42"/>
  <c r="L78" i="42"/>
  <c r="N78" i="42" s="1"/>
  <c r="S78" i="42" s="1"/>
  <c r="T78" i="42" s="1"/>
  <c r="P104" i="42"/>
  <c r="L104" i="42"/>
  <c r="N104" i="42" s="1"/>
  <c r="P94" i="40"/>
  <c r="L94" i="40"/>
  <c r="N94" i="40" s="1"/>
  <c r="S94" i="40" s="1"/>
  <c r="T94" i="40" s="1"/>
  <c r="P48" i="42"/>
  <c r="L48" i="42"/>
  <c r="N48" i="42" s="1"/>
  <c r="S48" i="42" s="1"/>
  <c r="T48" i="42" s="1"/>
  <c r="P22" i="41"/>
  <c r="L22" i="41"/>
  <c r="N22" i="41" s="1"/>
  <c r="L28" i="41"/>
  <c r="N28" i="41" s="1"/>
  <c r="P28" i="41"/>
  <c r="Q28" i="41" s="1"/>
  <c r="P23" i="42"/>
  <c r="L23" i="42"/>
  <c r="N23" i="42" s="1"/>
  <c r="S23" i="42" s="1"/>
  <c r="T23" i="42" s="1"/>
  <c r="P51" i="40"/>
  <c r="L51" i="40"/>
  <c r="N51" i="40" s="1"/>
  <c r="P23" i="41"/>
  <c r="L23" i="41"/>
  <c r="N23" i="41" s="1"/>
  <c r="S23" i="41" s="1"/>
  <c r="T23" i="41" s="1"/>
  <c r="L25" i="40"/>
  <c r="N25" i="40" s="1"/>
  <c r="P25" i="40"/>
  <c r="P35" i="40"/>
  <c r="L35" i="40"/>
  <c r="N35" i="40" s="1"/>
  <c r="S35" i="40" s="1"/>
  <c r="T35" i="40" s="1"/>
  <c r="P75" i="42"/>
  <c r="L75" i="42"/>
  <c r="N75" i="42" s="1"/>
  <c r="P100" i="41"/>
  <c r="L100" i="41"/>
  <c r="N100" i="41" s="1"/>
  <c r="P83" i="42"/>
  <c r="L83" i="42"/>
  <c r="N83" i="42" s="1"/>
  <c r="P81" i="40"/>
  <c r="L81" i="40"/>
  <c r="N81" i="40" s="1"/>
  <c r="P22" i="42"/>
  <c r="L22" i="42"/>
  <c r="N22" i="42" s="1"/>
  <c r="S22" i="42" s="1"/>
  <c r="T22" i="42" s="1"/>
  <c r="P40" i="41"/>
  <c r="L40" i="41"/>
  <c r="N40" i="41" s="1"/>
  <c r="S40" i="41" s="1"/>
  <c r="T40" i="41" s="1"/>
  <c r="P56" i="40"/>
  <c r="Q56" i="40" s="1"/>
  <c r="L56" i="40"/>
  <c r="N56" i="40" s="1"/>
  <c r="L50" i="40"/>
  <c r="N50" i="40" s="1"/>
  <c r="P50" i="40"/>
  <c r="L55" i="42"/>
  <c r="N55" i="42" s="1"/>
  <c r="P55" i="42"/>
  <c r="Q55" i="42" s="1"/>
  <c r="P47" i="41"/>
  <c r="L47" i="41"/>
  <c r="N47" i="41" s="1"/>
  <c r="P48" i="41"/>
  <c r="L48" i="41"/>
  <c r="N48" i="41" s="1"/>
  <c r="P39" i="40"/>
  <c r="L39" i="40"/>
  <c r="N39" i="40" s="1"/>
  <c r="S39" i="40" s="1"/>
  <c r="T39" i="40" s="1"/>
  <c r="P30" i="42"/>
  <c r="L30" i="42"/>
  <c r="N30" i="42" s="1"/>
  <c r="S30" i="42" s="1"/>
  <c r="T30" i="42" s="1"/>
  <c r="P35" i="41"/>
  <c r="L35" i="41"/>
  <c r="N35" i="41" s="1"/>
  <c r="L29" i="41"/>
  <c r="N29" i="41" s="1"/>
  <c r="P29" i="41"/>
  <c r="P40" i="40"/>
  <c r="L40" i="40"/>
  <c r="N40" i="40" s="1"/>
  <c r="P31" i="42"/>
  <c r="L31" i="42"/>
  <c r="N31" i="42" s="1"/>
  <c r="S31" i="42" s="1"/>
  <c r="T31" i="42" s="1"/>
  <c r="P94" i="42"/>
  <c r="L94" i="42"/>
  <c r="N94" i="42" s="1"/>
  <c r="L101" i="41"/>
  <c r="N101" i="41" s="1"/>
  <c r="P101" i="41"/>
  <c r="L105" i="41"/>
  <c r="N105" i="41" s="1"/>
  <c r="P105" i="41"/>
  <c r="L97" i="42"/>
  <c r="N97" i="42" s="1"/>
  <c r="P97" i="42"/>
  <c r="L104" i="41"/>
  <c r="N104" i="41" s="1"/>
  <c r="S104" i="41" s="1"/>
  <c r="T104" i="41" s="1"/>
  <c r="P104" i="41"/>
  <c r="L54" i="40"/>
  <c r="N54" i="40" s="1"/>
  <c r="P54" i="40"/>
  <c r="Q54" i="40" s="1"/>
  <c r="P62" i="42"/>
  <c r="L62" i="42"/>
  <c r="N62" i="42" s="1"/>
  <c r="P31" i="41"/>
  <c r="L31" i="41"/>
  <c r="N31" i="41" s="1"/>
  <c r="P41" i="40"/>
  <c r="L41" i="40"/>
  <c r="N41" i="40" s="1"/>
  <c r="L57" i="41"/>
  <c r="N57" i="41" s="1"/>
  <c r="P57" i="41"/>
  <c r="Q57" i="41" s="1"/>
  <c r="L25" i="42"/>
  <c r="N25" i="42" s="1"/>
  <c r="P25" i="42"/>
  <c r="L42" i="40"/>
  <c r="N42" i="40" s="1"/>
  <c r="P42" i="40"/>
  <c r="Q42" i="40" s="1"/>
  <c r="P43" i="42"/>
  <c r="L43" i="42"/>
  <c r="N43" i="42" s="1"/>
  <c r="P61" i="41"/>
  <c r="L61" i="41"/>
  <c r="N61" i="41" s="1"/>
  <c r="L49" i="41"/>
  <c r="N49" i="41" s="1"/>
  <c r="P49" i="41"/>
  <c r="P61" i="40"/>
  <c r="L61" i="40"/>
  <c r="N61" i="40" s="1"/>
  <c r="S61" i="40" s="1"/>
  <c r="T61" i="40" s="1"/>
  <c r="P43" i="40"/>
  <c r="L43" i="40"/>
  <c r="N43" i="40" s="1"/>
  <c r="P100" i="42"/>
  <c r="L100" i="42"/>
  <c r="N100" i="42" s="1"/>
  <c r="S100" i="42" s="1"/>
  <c r="T100" i="42" s="1"/>
  <c r="L75" i="40"/>
  <c r="N75" i="40" s="1"/>
  <c r="P75" i="40"/>
  <c r="Q75" i="40" s="1"/>
  <c r="L82" i="40"/>
  <c r="N82" i="40" s="1"/>
  <c r="S82" i="40" s="1"/>
  <c r="T82" i="40" s="1"/>
  <c r="P82" i="40"/>
  <c r="L82" i="41"/>
  <c r="N82" i="41" s="1"/>
  <c r="P82" i="41"/>
  <c r="L104" i="40"/>
  <c r="N104" i="40" s="1"/>
  <c r="P104" i="40"/>
  <c r="Q104" i="40" s="1"/>
  <c r="A118" i="34"/>
  <c r="A120" i="34" s="1"/>
  <c r="A123" i="34" s="1"/>
  <c r="A126" i="34" s="1"/>
  <c r="A127" i="34" s="1"/>
  <c r="A130" i="34" s="1"/>
  <c r="A131" i="34" s="1"/>
  <c r="A132" i="34" s="1"/>
  <c r="A134" i="34" s="1"/>
  <c r="A136" i="34" s="1"/>
  <c r="A139" i="34" s="1"/>
  <c r="A142" i="34" s="1"/>
  <c r="A143" i="34" s="1"/>
  <c r="A146" i="34" s="1"/>
  <c r="A147" i="34" s="1"/>
  <c r="A148" i="34" s="1"/>
  <c r="A150" i="34" s="1"/>
  <c r="A152" i="34" s="1"/>
  <c r="A155" i="34" s="1"/>
  <c r="A158" i="34" s="1"/>
  <c r="A159" i="34" s="1"/>
  <c r="A162" i="34" s="1"/>
  <c r="A163" i="34" s="1"/>
  <c r="A164" i="34" s="1"/>
  <c r="A166" i="34" s="1"/>
  <c r="A168" i="34" s="1"/>
  <c r="A171" i="34" s="1"/>
  <c r="L86" i="26"/>
  <c r="N86" i="26" s="1"/>
  <c r="S86" i="26" s="1"/>
  <c r="T86" i="26" s="1"/>
  <c r="L100" i="36"/>
  <c r="N100" i="36" s="1"/>
  <c r="P100" i="36"/>
  <c r="L83" i="35"/>
  <c r="N83" i="35" s="1"/>
  <c r="P83" i="35"/>
  <c r="L91" i="33"/>
  <c r="N91" i="33" s="1"/>
  <c r="P91" i="33"/>
  <c r="L91" i="34"/>
  <c r="N91" i="34" s="1"/>
  <c r="P91" i="34"/>
  <c r="L90" i="33"/>
  <c r="N90" i="33" s="1"/>
  <c r="P90" i="33"/>
  <c r="P89" i="34"/>
  <c r="L89" i="34"/>
  <c r="N89" i="34" s="1"/>
  <c r="L82" i="35"/>
  <c r="N82" i="35" s="1"/>
  <c r="P82" i="35"/>
  <c r="P81" i="35"/>
  <c r="L81" i="35"/>
  <c r="N81" i="35" s="1"/>
  <c r="P90" i="34"/>
  <c r="L90" i="34"/>
  <c r="N90" i="34" s="1"/>
  <c r="L89" i="33"/>
  <c r="N89" i="33" s="1"/>
  <c r="P89" i="33"/>
  <c r="P99" i="36"/>
  <c r="L99" i="36"/>
  <c r="N99" i="36" s="1"/>
  <c r="P98" i="36"/>
  <c r="L98" i="36"/>
  <c r="N98" i="36" s="1"/>
  <c r="L128" i="36"/>
  <c r="N128" i="36" s="1"/>
  <c r="P128" i="36"/>
  <c r="L132" i="36"/>
  <c r="N132" i="36" s="1"/>
  <c r="P132" i="36"/>
  <c r="L121" i="36"/>
  <c r="N121" i="36" s="1"/>
  <c r="P121" i="36"/>
  <c r="L124" i="36"/>
  <c r="N124" i="36" s="1"/>
  <c r="P124" i="36"/>
  <c r="P127" i="36"/>
  <c r="L127" i="36"/>
  <c r="N127" i="36" s="1"/>
  <c r="L133" i="36"/>
  <c r="N133" i="36" s="1"/>
  <c r="P133" i="36"/>
  <c r="L131" i="36"/>
  <c r="N131" i="36" s="1"/>
  <c r="P131" i="36"/>
  <c r="L91" i="26"/>
  <c r="N91" i="26" s="1"/>
  <c r="P91" i="26"/>
  <c r="L90" i="26"/>
  <c r="N90" i="26" s="1"/>
  <c r="P90" i="26"/>
  <c r="P92" i="26"/>
  <c r="L92" i="26"/>
  <c r="N92" i="26" s="1"/>
  <c r="L145" i="26"/>
  <c r="N145" i="26" s="1"/>
  <c r="S145" i="26" s="1"/>
  <c r="T145" i="26" s="1"/>
  <c r="P168" i="34"/>
  <c r="L168" i="34"/>
  <c r="N168" i="34" s="1"/>
  <c r="P201" i="33"/>
  <c r="L201" i="33"/>
  <c r="N201" i="33" s="1"/>
  <c r="P126" i="34"/>
  <c r="L126" i="34"/>
  <c r="N126" i="34" s="1"/>
  <c r="P208" i="36"/>
  <c r="L208" i="36"/>
  <c r="N208" i="36" s="1"/>
  <c r="P120" i="34"/>
  <c r="L120" i="34"/>
  <c r="N120" i="34" s="1"/>
  <c r="P143" i="33"/>
  <c r="L143" i="33"/>
  <c r="N143" i="33" s="1"/>
  <c r="P153" i="36"/>
  <c r="L153" i="36"/>
  <c r="N153" i="36" s="1"/>
  <c r="L72" i="33"/>
  <c r="N72" i="33" s="1"/>
  <c r="P72" i="33"/>
  <c r="L191" i="34"/>
  <c r="N191" i="34" s="1"/>
  <c r="P191" i="34"/>
  <c r="P111" i="33"/>
  <c r="L111" i="33"/>
  <c r="N111" i="33" s="1"/>
  <c r="P73" i="36"/>
  <c r="L73" i="36"/>
  <c r="N73" i="36" s="1"/>
  <c r="L176" i="36"/>
  <c r="N176" i="36" s="1"/>
  <c r="P176" i="36"/>
  <c r="L85" i="33"/>
  <c r="N85" i="33" s="1"/>
  <c r="P85" i="33"/>
  <c r="L196" i="33"/>
  <c r="N196" i="33" s="1"/>
  <c r="P196" i="33"/>
  <c r="L164" i="36"/>
  <c r="N164" i="36" s="1"/>
  <c r="P164" i="36"/>
  <c r="P108" i="33"/>
  <c r="L108" i="33"/>
  <c r="N108" i="33" s="1"/>
  <c r="L84" i="36"/>
  <c r="N84" i="36" s="1"/>
  <c r="P84" i="36"/>
  <c r="P85" i="34"/>
  <c r="L85" i="34"/>
  <c r="N85" i="34" s="1"/>
  <c r="P156" i="33"/>
  <c r="L156" i="33"/>
  <c r="N156" i="33" s="1"/>
  <c r="L77" i="33"/>
  <c r="N77" i="33" s="1"/>
  <c r="P77" i="33"/>
  <c r="L147" i="34"/>
  <c r="N147" i="34" s="1"/>
  <c r="P147" i="34"/>
  <c r="L148" i="34"/>
  <c r="N148" i="34" s="1"/>
  <c r="P148" i="34"/>
  <c r="L130" i="34"/>
  <c r="N130" i="34" s="1"/>
  <c r="P130" i="34"/>
  <c r="L114" i="34"/>
  <c r="N114" i="34" s="1"/>
  <c r="P114" i="34"/>
  <c r="L211" i="36"/>
  <c r="N211" i="36" s="1"/>
  <c r="P211" i="36"/>
  <c r="P195" i="36"/>
  <c r="L195" i="36"/>
  <c r="N195" i="36" s="1"/>
  <c r="L56" i="34"/>
  <c r="N56" i="34" s="1"/>
  <c r="P56" i="34"/>
  <c r="L62" i="33"/>
  <c r="N62" i="33" s="1"/>
  <c r="P62" i="33"/>
  <c r="P24" i="33"/>
  <c r="L24" i="33"/>
  <c r="N24" i="33" s="1"/>
  <c r="P24" i="34"/>
  <c r="L24" i="34"/>
  <c r="N24" i="34" s="1"/>
  <c r="P48" i="37"/>
  <c r="L48" i="37"/>
  <c r="N48" i="37" s="1"/>
  <c r="L48" i="38"/>
  <c r="N48" i="38" s="1"/>
  <c r="P48" i="38"/>
  <c r="L39" i="34"/>
  <c r="N39" i="34" s="1"/>
  <c r="P39" i="34"/>
  <c r="P60" i="35"/>
  <c r="L60" i="35"/>
  <c r="N60" i="35" s="1"/>
  <c r="P49" i="36"/>
  <c r="L49" i="36"/>
  <c r="N49" i="36" s="1"/>
  <c r="P22" i="33"/>
  <c r="L22" i="33"/>
  <c r="N22" i="33" s="1"/>
  <c r="P26" i="34"/>
  <c r="L26" i="34"/>
  <c r="N26" i="34" s="1"/>
  <c r="L35" i="37"/>
  <c r="N35" i="37" s="1"/>
  <c r="P35" i="37"/>
  <c r="L40" i="38"/>
  <c r="N40" i="38" s="1"/>
  <c r="P40" i="38"/>
  <c r="L35" i="34"/>
  <c r="N35" i="34" s="1"/>
  <c r="P35" i="34"/>
  <c r="L56" i="35"/>
  <c r="N56" i="35" s="1"/>
  <c r="P56" i="35"/>
  <c r="P55" i="36"/>
  <c r="L55" i="36"/>
  <c r="N55" i="36" s="1"/>
  <c r="P42" i="39"/>
  <c r="L42" i="39"/>
  <c r="N42" i="39" s="1"/>
  <c r="L60" i="33"/>
  <c r="N60" i="33" s="1"/>
  <c r="P60" i="33"/>
  <c r="L23" i="37"/>
  <c r="N23" i="37" s="1"/>
  <c r="P23" i="37"/>
  <c r="L23" i="33"/>
  <c r="N23" i="33" s="1"/>
  <c r="P23" i="33"/>
  <c r="L39" i="35"/>
  <c r="N39" i="35" s="1"/>
  <c r="P39" i="35"/>
  <c r="P47" i="36"/>
  <c r="L47" i="36"/>
  <c r="N47" i="36" s="1"/>
  <c r="L30" i="35"/>
  <c r="N30" i="35" s="1"/>
  <c r="P30" i="35"/>
  <c r="P29" i="36"/>
  <c r="L29" i="36"/>
  <c r="N29" i="36" s="1"/>
  <c r="L51" i="38"/>
  <c r="N51" i="38" s="1"/>
  <c r="P51" i="38"/>
  <c r="P175" i="34"/>
  <c r="L175" i="34"/>
  <c r="N175" i="34" s="1"/>
  <c r="P127" i="33"/>
  <c r="L127" i="33"/>
  <c r="N127" i="33" s="1"/>
  <c r="P158" i="34"/>
  <c r="L158" i="34"/>
  <c r="N158" i="34" s="1"/>
  <c r="P191" i="36"/>
  <c r="L191" i="36"/>
  <c r="N191" i="36" s="1"/>
  <c r="P152" i="34"/>
  <c r="L152" i="34"/>
  <c r="N152" i="34" s="1"/>
  <c r="P185" i="33"/>
  <c r="L185" i="33"/>
  <c r="N185" i="33" s="1"/>
  <c r="P160" i="36"/>
  <c r="L160" i="36"/>
  <c r="N160" i="36" s="1"/>
  <c r="P137" i="33"/>
  <c r="L137" i="33"/>
  <c r="N137" i="33" s="1"/>
  <c r="P75" i="35"/>
  <c r="L75" i="35"/>
  <c r="N75" i="35" s="1"/>
  <c r="L207" i="33"/>
  <c r="N207" i="33" s="1"/>
  <c r="P207" i="33"/>
  <c r="P77" i="36"/>
  <c r="L77" i="36"/>
  <c r="N77" i="36" s="1"/>
  <c r="P80" i="33"/>
  <c r="L80" i="33"/>
  <c r="N80" i="33" s="1"/>
  <c r="P207" i="36"/>
  <c r="L207" i="36"/>
  <c r="N207" i="36" s="1"/>
  <c r="L123" i="34"/>
  <c r="N123" i="34" s="1"/>
  <c r="P123" i="34"/>
  <c r="P212" i="36"/>
  <c r="L212" i="36"/>
  <c r="N212" i="36" s="1"/>
  <c r="P172" i="36"/>
  <c r="L172" i="36"/>
  <c r="N172" i="36" s="1"/>
  <c r="P133" i="33"/>
  <c r="L133" i="33"/>
  <c r="N133" i="33" s="1"/>
  <c r="P103" i="36"/>
  <c r="L103" i="36"/>
  <c r="N103" i="36" s="1"/>
  <c r="P132" i="34"/>
  <c r="L132" i="34"/>
  <c r="N132" i="34" s="1"/>
  <c r="L181" i="33"/>
  <c r="N181" i="33" s="1"/>
  <c r="P181" i="33"/>
  <c r="P86" i="34"/>
  <c r="L86" i="34"/>
  <c r="N86" i="34" s="1"/>
  <c r="L155" i="34"/>
  <c r="N155" i="34" s="1"/>
  <c r="P155" i="34"/>
  <c r="P117" i="33"/>
  <c r="L117" i="33"/>
  <c r="N117" i="33" s="1"/>
  <c r="L180" i="34"/>
  <c r="N180" i="34" s="1"/>
  <c r="P180" i="34"/>
  <c r="L163" i="36"/>
  <c r="N163" i="36" s="1"/>
  <c r="P163" i="36"/>
  <c r="L179" i="36"/>
  <c r="N179" i="36" s="1"/>
  <c r="P179" i="36"/>
  <c r="L43" i="33"/>
  <c r="N43" i="33" s="1"/>
  <c r="P43" i="33"/>
  <c r="P28" i="37"/>
  <c r="L28" i="37"/>
  <c r="N28" i="37" s="1"/>
  <c r="L51" i="34"/>
  <c r="N51" i="34" s="1"/>
  <c r="P51" i="34"/>
  <c r="P47" i="34"/>
  <c r="L47" i="34"/>
  <c r="N47" i="34" s="1"/>
  <c r="P42" i="33"/>
  <c r="L42" i="33"/>
  <c r="N42" i="33" s="1"/>
  <c r="P29" i="34"/>
  <c r="L29" i="34"/>
  <c r="N29" i="34" s="1"/>
  <c r="P57" i="37"/>
  <c r="L57" i="37"/>
  <c r="N57" i="37" s="1"/>
  <c r="P25" i="39"/>
  <c r="L25" i="39"/>
  <c r="N25" i="39" s="1"/>
  <c r="P23" i="35"/>
  <c r="L23" i="35"/>
  <c r="N23" i="35" s="1"/>
  <c r="P54" i="36"/>
  <c r="L54" i="36"/>
  <c r="N54" i="36" s="1"/>
  <c r="L26" i="33"/>
  <c r="N26" i="33" s="1"/>
  <c r="P26" i="33"/>
  <c r="P30" i="34"/>
  <c r="L30" i="34"/>
  <c r="N30" i="34" s="1"/>
  <c r="P40" i="37"/>
  <c r="L40" i="37"/>
  <c r="N40" i="37" s="1"/>
  <c r="P40" i="34"/>
  <c r="L40" i="34"/>
  <c r="N40" i="34" s="1"/>
  <c r="P61" i="35"/>
  <c r="L61" i="35"/>
  <c r="N61" i="35" s="1"/>
  <c r="P60" i="36"/>
  <c r="L60" i="36"/>
  <c r="N60" i="36" s="1"/>
  <c r="L49" i="39"/>
  <c r="N49" i="39" s="1"/>
  <c r="P49" i="39"/>
  <c r="P43" i="35"/>
  <c r="L43" i="35"/>
  <c r="N43" i="35" s="1"/>
  <c r="P51" i="36"/>
  <c r="L51" i="36"/>
  <c r="N51" i="36" s="1"/>
  <c r="L24" i="39"/>
  <c r="N24" i="39" s="1"/>
  <c r="P24" i="39"/>
  <c r="P35" i="35"/>
  <c r="L35" i="35"/>
  <c r="N35" i="35" s="1"/>
  <c r="L56" i="38"/>
  <c r="N56" i="38" s="1"/>
  <c r="P56" i="38"/>
  <c r="P153" i="33"/>
  <c r="L153" i="33"/>
  <c r="N153" i="33" s="1"/>
  <c r="L72" i="34"/>
  <c r="N72" i="34" s="1"/>
  <c r="P72" i="34"/>
  <c r="L190" i="34"/>
  <c r="N190" i="34" s="1"/>
  <c r="P190" i="34"/>
  <c r="P88" i="36"/>
  <c r="L88" i="36"/>
  <c r="N88" i="36" s="1"/>
  <c r="P184" i="34"/>
  <c r="L184" i="34"/>
  <c r="N184" i="34" s="1"/>
  <c r="P192" i="33"/>
  <c r="L192" i="33"/>
  <c r="N192" i="33" s="1"/>
  <c r="L89" i="36"/>
  <c r="N89" i="36" s="1"/>
  <c r="P89" i="36"/>
  <c r="P169" i="33"/>
  <c r="L169" i="33"/>
  <c r="N169" i="33" s="1"/>
  <c r="L87" i="36"/>
  <c r="N87" i="36" s="1"/>
  <c r="P87" i="36"/>
  <c r="P81" i="34"/>
  <c r="L81" i="34"/>
  <c r="N81" i="34" s="1"/>
  <c r="L169" i="36"/>
  <c r="N169" i="36" s="1"/>
  <c r="P169" i="36"/>
  <c r="L159" i="33"/>
  <c r="N159" i="33" s="1"/>
  <c r="P159" i="33"/>
  <c r="P91" i="36"/>
  <c r="L91" i="36"/>
  <c r="N91" i="36" s="1"/>
  <c r="P131" i="34"/>
  <c r="L131" i="34"/>
  <c r="N131" i="34" s="1"/>
  <c r="P188" i="33"/>
  <c r="L188" i="33"/>
  <c r="N188" i="33" s="1"/>
  <c r="L213" i="36"/>
  <c r="N213" i="36" s="1"/>
  <c r="P213" i="36"/>
  <c r="P165" i="33"/>
  <c r="L165" i="33"/>
  <c r="N165" i="33" s="1"/>
  <c r="L196" i="36"/>
  <c r="N196" i="36" s="1"/>
  <c r="P196" i="36"/>
  <c r="L105" i="35"/>
  <c r="N105" i="35" s="1"/>
  <c r="P105" i="35"/>
  <c r="L164" i="34"/>
  <c r="N164" i="34" s="1"/>
  <c r="P164" i="34"/>
  <c r="P179" i="34"/>
  <c r="L179" i="34"/>
  <c r="N179" i="34" s="1"/>
  <c r="P132" i="33"/>
  <c r="L132" i="33"/>
  <c r="N132" i="33" s="1"/>
  <c r="L78" i="35"/>
  <c r="N78" i="35" s="1"/>
  <c r="P78" i="35"/>
  <c r="L195" i="33"/>
  <c r="N195" i="33" s="1"/>
  <c r="P195" i="33"/>
  <c r="L61" i="33"/>
  <c r="N61" i="33" s="1"/>
  <c r="P61" i="33"/>
  <c r="P56" i="37"/>
  <c r="L56" i="37"/>
  <c r="N56" i="37" s="1"/>
  <c r="P29" i="39"/>
  <c r="L29" i="39"/>
  <c r="N29" i="39" s="1"/>
  <c r="P24" i="37"/>
  <c r="L24" i="37"/>
  <c r="N24" i="37" s="1"/>
  <c r="P60" i="34"/>
  <c r="L60" i="34"/>
  <c r="N60" i="34" s="1"/>
  <c r="L55" i="34"/>
  <c r="N55" i="34" s="1"/>
  <c r="P55" i="34"/>
  <c r="P62" i="37"/>
  <c r="L62" i="37"/>
  <c r="N62" i="37" s="1"/>
  <c r="P22" i="36"/>
  <c r="L22" i="36"/>
  <c r="N22" i="36" s="1"/>
  <c r="P22" i="38"/>
  <c r="L22" i="38"/>
  <c r="N22" i="38" s="1"/>
  <c r="L30" i="33"/>
  <c r="N30" i="33" s="1"/>
  <c r="P30" i="33"/>
  <c r="P43" i="34"/>
  <c r="L43" i="34"/>
  <c r="N43" i="34" s="1"/>
  <c r="L49" i="38"/>
  <c r="N49" i="38" s="1"/>
  <c r="P49" i="38"/>
  <c r="P62" i="34"/>
  <c r="L62" i="34"/>
  <c r="N62" i="34" s="1"/>
  <c r="L23" i="36"/>
  <c r="N23" i="36" s="1"/>
  <c r="P23" i="36"/>
  <c r="P56" i="39"/>
  <c r="L56" i="39"/>
  <c r="N56" i="39" s="1"/>
  <c r="L23" i="34"/>
  <c r="N23" i="34" s="1"/>
  <c r="P23" i="34"/>
  <c r="L31" i="37"/>
  <c r="N31" i="37" s="1"/>
  <c r="P31" i="37"/>
  <c r="L31" i="38"/>
  <c r="N31" i="38" s="1"/>
  <c r="P31" i="38"/>
  <c r="L48" i="35"/>
  <c r="N48" i="35" s="1"/>
  <c r="P48" i="35"/>
  <c r="L56" i="36"/>
  <c r="N56" i="36" s="1"/>
  <c r="P56" i="36"/>
  <c r="L40" i="39"/>
  <c r="N40" i="39" s="1"/>
  <c r="P40" i="39"/>
  <c r="P40" i="35"/>
  <c r="L40" i="35"/>
  <c r="N40" i="35" s="1"/>
  <c r="L39" i="36"/>
  <c r="N39" i="36" s="1"/>
  <c r="P39" i="36"/>
  <c r="L61" i="38"/>
  <c r="N61" i="38" s="1"/>
  <c r="P61" i="38"/>
  <c r="L74" i="33"/>
  <c r="N74" i="33" s="1"/>
  <c r="P74" i="33"/>
  <c r="L72" i="38"/>
  <c r="N72" i="38" s="1"/>
  <c r="P72" i="38"/>
  <c r="P143" i="34"/>
  <c r="L143" i="34"/>
  <c r="N143" i="34" s="1"/>
  <c r="P75" i="36"/>
  <c r="L75" i="36"/>
  <c r="N75" i="36" s="1"/>
  <c r="P92" i="36"/>
  <c r="L92" i="36"/>
  <c r="N92" i="36" s="1"/>
  <c r="L121" i="33"/>
  <c r="N121" i="33" s="1"/>
  <c r="P121" i="33"/>
  <c r="P185" i="36"/>
  <c r="L185" i="36"/>
  <c r="N185" i="36" s="1"/>
  <c r="P80" i="34"/>
  <c r="L80" i="34"/>
  <c r="N80" i="34" s="1"/>
  <c r="L94" i="36"/>
  <c r="N94" i="36" s="1"/>
  <c r="P94" i="36"/>
  <c r="L176" i="33"/>
  <c r="N176" i="33" s="1"/>
  <c r="P176" i="33"/>
  <c r="L175" i="36"/>
  <c r="N175" i="36" s="1"/>
  <c r="P175" i="36"/>
  <c r="P136" i="34"/>
  <c r="L136" i="34"/>
  <c r="N136" i="34" s="1"/>
  <c r="L90" i="36"/>
  <c r="N90" i="36" s="1"/>
  <c r="P90" i="36"/>
  <c r="L82" i="34"/>
  <c r="N82" i="34" s="1"/>
  <c r="P82" i="34"/>
  <c r="P77" i="34"/>
  <c r="L77" i="34"/>
  <c r="N77" i="34" s="1"/>
  <c r="L148" i="36"/>
  <c r="N148" i="36" s="1"/>
  <c r="P148" i="36"/>
  <c r="P180" i="33"/>
  <c r="L180" i="33"/>
  <c r="N180" i="33" s="1"/>
  <c r="L165" i="36"/>
  <c r="N165" i="36" s="1"/>
  <c r="P165" i="36"/>
  <c r="L140" i="36"/>
  <c r="N140" i="36" s="1"/>
  <c r="P140" i="36"/>
  <c r="L116" i="33"/>
  <c r="N116" i="33" s="1"/>
  <c r="P116" i="33"/>
  <c r="L187" i="34"/>
  <c r="N187" i="34" s="1"/>
  <c r="P187" i="34"/>
  <c r="P140" i="33"/>
  <c r="L140" i="33"/>
  <c r="N140" i="33" s="1"/>
  <c r="L83" i="36"/>
  <c r="N83" i="36" s="1"/>
  <c r="P83" i="36"/>
  <c r="L115" i="33"/>
  <c r="N115" i="33" s="1"/>
  <c r="P115" i="33"/>
  <c r="P131" i="33"/>
  <c r="L131" i="33"/>
  <c r="N131" i="33" s="1"/>
  <c r="L50" i="34"/>
  <c r="N50" i="34" s="1"/>
  <c r="P50" i="34"/>
  <c r="L47" i="38"/>
  <c r="N47" i="38" s="1"/>
  <c r="P47" i="38"/>
  <c r="L57" i="39"/>
  <c r="N57" i="39" s="1"/>
  <c r="P57" i="39"/>
  <c r="L28" i="38"/>
  <c r="N28" i="38" s="1"/>
  <c r="P28" i="38"/>
  <c r="P47" i="37"/>
  <c r="L47" i="37"/>
  <c r="N47" i="37" s="1"/>
  <c r="L61" i="37"/>
  <c r="N61" i="37" s="1"/>
  <c r="P61" i="37"/>
  <c r="P25" i="38"/>
  <c r="L25" i="38"/>
  <c r="N25" i="38" s="1"/>
  <c r="L55" i="39"/>
  <c r="N55" i="39" s="1"/>
  <c r="P55" i="39"/>
  <c r="L31" i="35"/>
  <c r="N31" i="35" s="1"/>
  <c r="P31" i="35"/>
  <c r="L26" i="36"/>
  <c r="N26" i="36" s="1"/>
  <c r="P26" i="36"/>
  <c r="L57" i="38"/>
  <c r="N57" i="38" s="1"/>
  <c r="P57" i="38"/>
  <c r="L35" i="33"/>
  <c r="N35" i="33" s="1"/>
  <c r="P35" i="33"/>
  <c r="L48" i="34"/>
  <c r="N48" i="34" s="1"/>
  <c r="P48" i="34"/>
  <c r="P49" i="37"/>
  <c r="L49" i="37"/>
  <c r="N49" i="37" s="1"/>
  <c r="P21" i="39"/>
  <c r="L21" i="39"/>
  <c r="L24" i="35"/>
  <c r="N24" i="35" s="1"/>
  <c r="P24" i="35"/>
  <c r="L23" i="38"/>
  <c r="N23" i="38" s="1"/>
  <c r="P23" i="38"/>
  <c r="P41" i="34"/>
  <c r="L41" i="34"/>
  <c r="N41" i="34" s="1"/>
  <c r="L57" i="35"/>
  <c r="N57" i="35" s="1"/>
  <c r="P57" i="35"/>
  <c r="P61" i="36"/>
  <c r="L61" i="36"/>
  <c r="N61" i="36" s="1"/>
  <c r="P43" i="39"/>
  <c r="L43" i="39"/>
  <c r="N43" i="39" s="1"/>
  <c r="P43" i="36"/>
  <c r="L43" i="36"/>
  <c r="N43" i="36" s="1"/>
  <c r="P93" i="36"/>
  <c r="L93" i="36"/>
  <c r="N93" i="36" s="1"/>
  <c r="L137" i="36"/>
  <c r="N137" i="36" s="1"/>
  <c r="P137" i="36"/>
  <c r="P128" i="33"/>
  <c r="L128" i="33"/>
  <c r="N128" i="33" s="1"/>
  <c r="P127" i="34"/>
  <c r="L127" i="34"/>
  <c r="N127" i="34" s="1"/>
  <c r="L71" i="37"/>
  <c r="N71" i="37" s="1"/>
  <c r="P71" i="37"/>
  <c r="P74" i="34"/>
  <c r="L74" i="34"/>
  <c r="N74" i="34" s="1"/>
  <c r="P192" i="36"/>
  <c r="L192" i="36"/>
  <c r="N192" i="36" s="1"/>
  <c r="L142" i="34"/>
  <c r="N142" i="34" s="1"/>
  <c r="P142" i="34"/>
  <c r="L95" i="36"/>
  <c r="N95" i="36" s="1"/>
  <c r="P95" i="36"/>
  <c r="P111" i="34"/>
  <c r="L111" i="34"/>
  <c r="N111" i="34" s="1"/>
  <c r="L181" i="36"/>
  <c r="N181" i="36" s="1"/>
  <c r="P181" i="36"/>
  <c r="P204" i="33"/>
  <c r="L204" i="33"/>
  <c r="N204" i="33" s="1"/>
  <c r="L81" i="36"/>
  <c r="N81" i="36" s="1"/>
  <c r="P81" i="36"/>
  <c r="P180" i="36"/>
  <c r="L180" i="36"/>
  <c r="N180" i="36" s="1"/>
  <c r="P124" i="33"/>
  <c r="L124" i="33"/>
  <c r="N124" i="33" s="1"/>
  <c r="L82" i="36"/>
  <c r="N82" i="36" s="1"/>
  <c r="P82" i="36"/>
  <c r="P164" i="33"/>
  <c r="L164" i="33"/>
  <c r="N164" i="33" s="1"/>
  <c r="P211" i="33"/>
  <c r="L211" i="33"/>
  <c r="N211" i="33" s="1"/>
  <c r="P163" i="33"/>
  <c r="L163" i="33"/>
  <c r="N163" i="33" s="1"/>
  <c r="L61" i="34"/>
  <c r="N61" i="34" s="1"/>
  <c r="P61" i="34"/>
  <c r="L22" i="39"/>
  <c r="N22" i="39" s="1"/>
  <c r="P22" i="39"/>
  <c r="L51" i="33"/>
  <c r="N51" i="33" s="1"/>
  <c r="P51" i="33"/>
  <c r="P25" i="33"/>
  <c r="L25" i="33"/>
  <c r="N25" i="33" s="1"/>
  <c r="L54" i="39"/>
  <c r="N54" i="39" s="1"/>
  <c r="P54" i="39"/>
  <c r="P29" i="38"/>
  <c r="L29" i="38"/>
  <c r="N29" i="38" s="1"/>
  <c r="L30" i="36"/>
  <c r="N30" i="36" s="1"/>
  <c r="P30" i="36"/>
  <c r="P62" i="38"/>
  <c r="L62" i="38"/>
  <c r="N62" i="38" s="1"/>
  <c r="P40" i="33"/>
  <c r="L40" i="33"/>
  <c r="N40" i="33" s="1"/>
  <c r="L57" i="34"/>
  <c r="N57" i="34" s="1"/>
  <c r="P57" i="34"/>
  <c r="P54" i="37"/>
  <c r="L54" i="37"/>
  <c r="N54" i="37" s="1"/>
  <c r="P28" i="39"/>
  <c r="L28" i="39"/>
  <c r="N28" i="39" s="1"/>
  <c r="L28" i="35"/>
  <c r="N28" i="35" s="1"/>
  <c r="P28" i="35"/>
  <c r="L31" i="36"/>
  <c r="N31" i="36" s="1"/>
  <c r="P31" i="36"/>
  <c r="L54" i="38"/>
  <c r="N54" i="38" s="1"/>
  <c r="P54" i="38"/>
  <c r="L31" i="33"/>
  <c r="N31" i="33" s="1"/>
  <c r="P31" i="33"/>
  <c r="P31" i="34"/>
  <c r="L31" i="34"/>
  <c r="N31" i="34" s="1"/>
  <c r="P41" i="37"/>
  <c r="L41" i="37"/>
  <c r="N41" i="37" s="1"/>
  <c r="P41" i="38"/>
  <c r="L41" i="38"/>
  <c r="N41" i="38" s="1"/>
  <c r="P21" i="35"/>
  <c r="L21" i="35"/>
  <c r="L62" i="35"/>
  <c r="N62" i="35" s="1"/>
  <c r="P62" i="35"/>
  <c r="L24" i="38"/>
  <c r="N24" i="38" s="1"/>
  <c r="P24" i="38"/>
  <c r="P21" i="34"/>
  <c r="L21" i="34"/>
  <c r="L49" i="35"/>
  <c r="N49" i="35" s="1"/>
  <c r="P49" i="35"/>
  <c r="P48" i="36"/>
  <c r="L48" i="36"/>
  <c r="N48" i="36" s="1"/>
  <c r="P41" i="39"/>
  <c r="L41" i="39"/>
  <c r="N41" i="39" s="1"/>
  <c r="P144" i="33"/>
  <c r="L144" i="33"/>
  <c r="N144" i="33" s="1"/>
  <c r="P72" i="35"/>
  <c r="L72" i="35"/>
  <c r="N72" i="35" s="1"/>
  <c r="P144" i="36"/>
  <c r="L144" i="36"/>
  <c r="N144" i="36" s="1"/>
  <c r="L160" i="33"/>
  <c r="N160" i="33" s="1"/>
  <c r="P160" i="33"/>
  <c r="L100" i="35"/>
  <c r="N100" i="35" s="1"/>
  <c r="P100" i="35"/>
  <c r="P104" i="34"/>
  <c r="L104" i="34"/>
  <c r="N104" i="34" s="1"/>
  <c r="L71" i="38"/>
  <c r="N71" i="38" s="1"/>
  <c r="P71" i="38"/>
  <c r="L174" i="34"/>
  <c r="N174" i="34" s="1"/>
  <c r="P174" i="34"/>
  <c r="P74" i="36"/>
  <c r="L74" i="36"/>
  <c r="N74" i="36" s="1"/>
  <c r="P107" i="34"/>
  <c r="L107" i="34"/>
  <c r="N107" i="34" s="1"/>
  <c r="L163" i="34"/>
  <c r="N163" i="34" s="1"/>
  <c r="P163" i="34"/>
  <c r="L104" i="36"/>
  <c r="N104" i="36" s="1"/>
  <c r="P104" i="36"/>
  <c r="L204" i="36"/>
  <c r="N204" i="36" s="1"/>
  <c r="P204" i="36"/>
  <c r="L149" i="33"/>
  <c r="N149" i="33" s="1"/>
  <c r="P149" i="33"/>
  <c r="P188" i="36"/>
  <c r="L188" i="36"/>
  <c r="N188" i="36" s="1"/>
  <c r="L172" i="33"/>
  <c r="N172" i="33" s="1"/>
  <c r="P172" i="33"/>
  <c r="L146" i="34"/>
  <c r="N146" i="34" s="1"/>
  <c r="P146" i="34"/>
  <c r="P179" i="33"/>
  <c r="L179" i="33"/>
  <c r="N179" i="33" s="1"/>
  <c r="L42" i="37"/>
  <c r="N42" i="37" s="1"/>
  <c r="P42" i="37"/>
  <c r="L50" i="39"/>
  <c r="N50" i="39" s="1"/>
  <c r="P50" i="39"/>
  <c r="L57" i="33"/>
  <c r="N57" i="33" s="1"/>
  <c r="P57" i="33"/>
  <c r="L28" i="33"/>
  <c r="N28" i="33" s="1"/>
  <c r="P28" i="33"/>
  <c r="P29" i="33"/>
  <c r="L29" i="33"/>
  <c r="N29" i="33" s="1"/>
  <c r="L21" i="37"/>
  <c r="P21" i="37"/>
  <c r="P41" i="35"/>
  <c r="L41" i="35"/>
  <c r="N41" i="35" s="1"/>
  <c r="L35" i="36"/>
  <c r="N35" i="36" s="1"/>
  <c r="P35" i="36"/>
  <c r="L23" i="39"/>
  <c r="N23" i="39" s="1"/>
  <c r="P23" i="39"/>
  <c r="L22" i="37"/>
  <c r="N22" i="37" s="1"/>
  <c r="P22" i="37"/>
  <c r="P26" i="38"/>
  <c r="L26" i="38"/>
  <c r="N26" i="38" s="1"/>
  <c r="P30" i="39"/>
  <c r="L30" i="39"/>
  <c r="N30" i="39" s="1"/>
  <c r="P42" i="35"/>
  <c r="L42" i="35"/>
  <c r="N42" i="35" s="1"/>
  <c r="L26" i="39"/>
  <c r="N26" i="39" s="1"/>
  <c r="P26" i="39"/>
  <c r="P41" i="33"/>
  <c r="L41" i="33"/>
  <c r="N41" i="33" s="1"/>
  <c r="L50" i="37"/>
  <c r="N50" i="37" s="1"/>
  <c r="P50" i="37"/>
  <c r="L31" i="39"/>
  <c r="N31" i="39" s="1"/>
  <c r="P31" i="39"/>
  <c r="P25" i="35"/>
  <c r="L25" i="35"/>
  <c r="N25" i="35" s="1"/>
  <c r="L24" i="36"/>
  <c r="N24" i="36" s="1"/>
  <c r="P24" i="36"/>
  <c r="P50" i="38"/>
  <c r="L50" i="38"/>
  <c r="N50" i="38" s="1"/>
  <c r="P54" i="35"/>
  <c r="L54" i="35"/>
  <c r="N54" i="35" s="1"/>
  <c r="L57" i="36"/>
  <c r="N57" i="36" s="1"/>
  <c r="P57" i="36"/>
  <c r="P208" i="33"/>
  <c r="L208" i="33"/>
  <c r="N208" i="33" s="1"/>
  <c r="P81" i="33"/>
  <c r="L81" i="33"/>
  <c r="N81" i="33" s="1"/>
  <c r="P175" i="33"/>
  <c r="L175" i="33"/>
  <c r="N175" i="33" s="1"/>
  <c r="L72" i="36"/>
  <c r="N72" i="36" s="1"/>
  <c r="P72" i="36"/>
  <c r="P110" i="34"/>
  <c r="L110" i="34"/>
  <c r="N110" i="34" s="1"/>
  <c r="L94" i="35"/>
  <c r="N94" i="35" s="1"/>
  <c r="P94" i="35"/>
  <c r="L78" i="36"/>
  <c r="N78" i="36" s="1"/>
  <c r="P78" i="36"/>
  <c r="P139" i="34"/>
  <c r="L139" i="34"/>
  <c r="N139" i="34" s="1"/>
  <c r="L86" i="33"/>
  <c r="N86" i="33" s="1"/>
  <c r="P86" i="33"/>
  <c r="P97" i="35"/>
  <c r="L97" i="35"/>
  <c r="N97" i="35" s="1"/>
  <c r="P171" i="34"/>
  <c r="L171" i="34"/>
  <c r="N171" i="34" s="1"/>
  <c r="P197" i="36"/>
  <c r="L197" i="36"/>
  <c r="N197" i="36" s="1"/>
  <c r="P212" i="33"/>
  <c r="L212" i="33"/>
  <c r="N212" i="33" s="1"/>
  <c r="P213" i="33"/>
  <c r="L213" i="33"/>
  <c r="N213" i="33" s="1"/>
  <c r="P147" i="33"/>
  <c r="L147" i="33"/>
  <c r="N147" i="33" s="1"/>
  <c r="L178" i="34"/>
  <c r="N178" i="34" s="1"/>
  <c r="P178" i="34"/>
  <c r="P162" i="34"/>
  <c r="L162" i="34"/>
  <c r="N162" i="34" s="1"/>
  <c r="L56" i="33"/>
  <c r="N56" i="33" s="1"/>
  <c r="P56" i="33"/>
  <c r="L21" i="33"/>
  <c r="P21" i="33"/>
  <c r="L51" i="37"/>
  <c r="N51" i="37" s="1"/>
  <c r="P51" i="37"/>
  <c r="L47" i="33"/>
  <c r="N47" i="33" s="1"/>
  <c r="P47" i="33"/>
  <c r="P42" i="34"/>
  <c r="L42" i="34"/>
  <c r="N42" i="34" s="1"/>
  <c r="L25" i="37"/>
  <c r="N25" i="37" s="1"/>
  <c r="P25" i="37"/>
  <c r="P39" i="38"/>
  <c r="L39" i="38"/>
  <c r="N39" i="38" s="1"/>
  <c r="P22" i="34"/>
  <c r="L22" i="34"/>
  <c r="N22" i="34" s="1"/>
  <c r="L50" i="35"/>
  <c r="N50" i="35" s="1"/>
  <c r="P50" i="35"/>
  <c r="L40" i="36"/>
  <c r="N40" i="36" s="1"/>
  <c r="P40" i="36"/>
  <c r="P51" i="39"/>
  <c r="L51" i="39"/>
  <c r="N51" i="39" s="1"/>
  <c r="P49" i="33"/>
  <c r="L49" i="33"/>
  <c r="N49" i="33" s="1"/>
  <c r="L26" i="37"/>
  <c r="N26" i="37" s="1"/>
  <c r="P26" i="37"/>
  <c r="L30" i="38"/>
  <c r="N30" i="38" s="1"/>
  <c r="P30" i="38"/>
  <c r="L62" i="39"/>
  <c r="N62" i="39" s="1"/>
  <c r="P62" i="39"/>
  <c r="L47" i="35"/>
  <c r="N47" i="35" s="1"/>
  <c r="P47" i="35"/>
  <c r="P41" i="36"/>
  <c r="L41" i="36"/>
  <c r="N41" i="36" s="1"/>
  <c r="L35" i="39"/>
  <c r="N35" i="39" s="1"/>
  <c r="P35" i="39"/>
  <c r="L50" i="33"/>
  <c r="N50" i="33" s="1"/>
  <c r="P50" i="33"/>
  <c r="L49" i="34"/>
  <c r="N49" i="34" s="1"/>
  <c r="P49" i="34"/>
  <c r="P55" i="37"/>
  <c r="L55" i="37"/>
  <c r="N55" i="37" s="1"/>
  <c r="P47" i="39"/>
  <c r="L47" i="39"/>
  <c r="N47" i="39" s="1"/>
  <c r="P29" i="35"/>
  <c r="L29" i="35"/>
  <c r="N29" i="35" s="1"/>
  <c r="P28" i="36"/>
  <c r="L28" i="36"/>
  <c r="N28" i="36" s="1"/>
  <c r="P55" i="38"/>
  <c r="L55" i="38"/>
  <c r="N55" i="38" s="1"/>
  <c r="L22" i="35"/>
  <c r="N22" i="35" s="1"/>
  <c r="P22" i="35"/>
  <c r="L21" i="36"/>
  <c r="P21" i="36"/>
  <c r="L62" i="36"/>
  <c r="N62" i="36" s="1"/>
  <c r="P62" i="36"/>
  <c r="L48" i="39"/>
  <c r="N48" i="39" s="1"/>
  <c r="P48" i="39"/>
  <c r="L105" i="33"/>
  <c r="N105" i="33" s="1"/>
  <c r="P105" i="33"/>
  <c r="P73" i="33"/>
  <c r="L73" i="33"/>
  <c r="N73" i="33" s="1"/>
  <c r="P159" i="36"/>
  <c r="L159" i="36"/>
  <c r="N159" i="36" s="1"/>
  <c r="L112" i="33"/>
  <c r="N112" i="33" s="1"/>
  <c r="P112" i="33"/>
  <c r="L74" i="37"/>
  <c r="N74" i="37" s="1"/>
  <c r="P74" i="37"/>
  <c r="P75" i="37"/>
  <c r="L75" i="37"/>
  <c r="N75" i="37" s="1"/>
  <c r="L191" i="33"/>
  <c r="N191" i="33" s="1"/>
  <c r="P191" i="33"/>
  <c r="P201" i="36"/>
  <c r="L201" i="36"/>
  <c r="N201" i="36" s="1"/>
  <c r="L73" i="34"/>
  <c r="N73" i="34" s="1"/>
  <c r="P73" i="34"/>
  <c r="P82" i="33"/>
  <c r="L82" i="33"/>
  <c r="N82" i="33" s="1"/>
  <c r="L76" i="36"/>
  <c r="N76" i="36" s="1"/>
  <c r="P76" i="36"/>
  <c r="L159" i="34"/>
  <c r="N159" i="34" s="1"/>
  <c r="P159" i="34"/>
  <c r="P101" i="35"/>
  <c r="L101" i="35"/>
  <c r="N101" i="35" s="1"/>
  <c r="L143" i="36"/>
  <c r="N143" i="36" s="1"/>
  <c r="P143" i="36"/>
  <c r="L156" i="36"/>
  <c r="N156" i="36" s="1"/>
  <c r="P156" i="36"/>
  <c r="P149" i="36"/>
  <c r="L149" i="36"/>
  <c r="N149" i="36" s="1"/>
  <c r="P195" i="34"/>
  <c r="L195" i="34"/>
  <c r="N195" i="34" s="1"/>
  <c r="P197" i="33"/>
  <c r="L197" i="33"/>
  <c r="N197" i="33" s="1"/>
  <c r="L148" i="33"/>
  <c r="N148" i="33" s="1"/>
  <c r="P148" i="33"/>
  <c r="L115" i="34"/>
  <c r="N115" i="34" s="1"/>
  <c r="P115" i="34"/>
  <c r="L116" i="34"/>
  <c r="N116" i="34" s="1"/>
  <c r="P116" i="34"/>
  <c r="P104" i="35"/>
  <c r="L104" i="35"/>
  <c r="N104" i="35" s="1"/>
  <c r="P147" i="36"/>
  <c r="L147" i="36"/>
  <c r="N147" i="36" s="1"/>
  <c r="L194" i="34"/>
  <c r="N194" i="34" s="1"/>
  <c r="P194" i="34"/>
  <c r="L25" i="34"/>
  <c r="N25" i="34" s="1"/>
  <c r="P25" i="34"/>
  <c r="L39" i="33"/>
  <c r="N39" i="33" s="1"/>
  <c r="P39" i="33"/>
  <c r="P42" i="38"/>
  <c r="L42" i="38"/>
  <c r="N42" i="38" s="1"/>
  <c r="P28" i="34"/>
  <c r="L28" i="34"/>
  <c r="N28" i="34" s="1"/>
  <c r="L48" i="33"/>
  <c r="N48" i="33" s="1"/>
  <c r="P48" i="33"/>
  <c r="P29" i="37"/>
  <c r="L29" i="37"/>
  <c r="N29" i="37" s="1"/>
  <c r="P43" i="38"/>
  <c r="L43" i="38"/>
  <c r="N43" i="38" s="1"/>
  <c r="L55" i="35"/>
  <c r="N55" i="35" s="1"/>
  <c r="P55" i="35"/>
  <c r="L39" i="37"/>
  <c r="N39" i="37" s="1"/>
  <c r="P39" i="37"/>
  <c r="L54" i="33"/>
  <c r="N54" i="33" s="1"/>
  <c r="P54" i="33"/>
  <c r="P30" i="37"/>
  <c r="L30" i="37"/>
  <c r="N30" i="37" s="1"/>
  <c r="L35" i="38"/>
  <c r="N35" i="38" s="1"/>
  <c r="P35" i="38"/>
  <c r="P43" i="37"/>
  <c r="L43" i="37"/>
  <c r="N43" i="37" s="1"/>
  <c r="L51" i="35"/>
  <c r="N51" i="35" s="1"/>
  <c r="P51" i="35"/>
  <c r="P50" i="36"/>
  <c r="L50" i="36"/>
  <c r="N50" i="36" s="1"/>
  <c r="P39" i="39"/>
  <c r="L39" i="39"/>
  <c r="N39" i="39" s="1"/>
  <c r="P55" i="33"/>
  <c r="L55" i="33"/>
  <c r="N55" i="33" s="1"/>
  <c r="L54" i="34"/>
  <c r="N54" i="34" s="1"/>
  <c r="P54" i="34"/>
  <c r="P60" i="37"/>
  <c r="L60" i="37"/>
  <c r="N60" i="37" s="1"/>
  <c r="L60" i="39"/>
  <c r="N60" i="39" s="1"/>
  <c r="P60" i="39"/>
  <c r="P42" i="36"/>
  <c r="L42" i="36"/>
  <c r="N42" i="36" s="1"/>
  <c r="P60" i="38"/>
  <c r="L60" i="38"/>
  <c r="N60" i="38" s="1"/>
  <c r="P26" i="35"/>
  <c r="L26" i="35"/>
  <c r="N26" i="35" s="1"/>
  <c r="P25" i="36"/>
  <c r="L25" i="36"/>
  <c r="N25" i="36" s="1"/>
  <c r="P21" i="38"/>
  <c r="L21" i="38"/>
  <c r="L61" i="39"/>
  <c r="N61" i="39" s="1"/>
  <c r="P61" i="39"/>
  <c r="L113" i="26"/>
  <c r="N113" i="26" s="1"/>
  <c r="S113" i="26" s="1"/>
  <c r="T113" i="26" s="1"/>
  <c r="P129" i="26"/>
  <c r="L129" i="26"/>
  <c r="N129" i="26" s="1"/>
  <c r="L209" i="26"/>
  <c r="N209" i="26" s="1"/>
  <c r="S209" i="26" s="1"/>
  <c r="T209" i="26" s="1"/>
  <c r="L161" i="26"/>
  <c r="N161" i="26" s="1"/>
  <c r="S161" i="26" s="1"/>
  <c r="T161" i="26" s="1"/>
  <c r="P193" i="26"/>
  <c r="L193" i="26"/>
  <c r="N193" i="26" s="1"/>
  <c r="L82" i="26"/>
  <c r="N82" i="26" s="1"/>
  <c r="S82" i="26" s="1"/>
  <c r="T82" i="26" s="1"/>
  <c r="P176" i="26"/>
  <c r="L176" i="26"/>
  <c r="N176" i="26" s="1"/>
  <c r="L81" i="26"/>
  <c r="N81" i="26" s="1"/>
  <c r="P81" i="26"/>
  <c r="P83" i="26"/>
  <c r="L83" i="26"/>
  <c r="N83" i="26" s="1"/>
  <c r="P74" i="26"/>
  <c r="L74" i="26"/>
  <c r="N74" i="26" s="1"/>
  <c r="A74" i="26"/>
  <c r="P78" i="26"/>
  <c r="L78" i="26"/>
  <c r="N78" i="26" s="1"/>
  <c r="L73" i="26"/>
  <c r="N73" i="26" s="1"/>
  <c r="S73" i="26" s="1"/>
  <c r="T73" i="26" s="1"/>
  <c r="L41" i="26"/>
  <c r="N41" i="26" s="1"/>
  <c r="P41" i="26"/>
  <c r="L48" i="26"/>
  <c r="N48" i="26" s="1"/>
  <c r="P48" i="26"/>
  <c r="L57" i="26"/>
  <c r="N57" i="26" s="1"/>
  <c r="P57" i="26"/>
  <c r="L22" i="26"/>
  <c r="N22" i="26" s="1"/>
  <c r="P22" i="26"/>
  <c r="L25" i="26"/>
  <c r="N25" i="26" s="1"/>
  <c r="P25" i="26"/>
  <c r="L39" i="26"/>
  <c r="N39" i="26" s="1"/>
  <c r="P39" i="26"/>
  <c r="L30" i="26"/>
  <c r="N30" i="26" s="1"/>
  <c r="P30" i="26"/>
  <c r="P180" i="26"/>
  <c r="L180" i="26"/>
  <c r="N180" i="26" s="1"/>
  <c r="L60" i="26"/>
  <c r="N60" i="26" s="1"/>
  <c r="P60" i="26"/>
  <c r="L49" i="26"/>
  <c r="N49" i="26" s="1"/>
  <c r="P49" i="26"/>
  <c r="L42" i="26"/>
  <c r="N42" i="26" s="1"/>
  <c r="P42" i="26"/>
  <c r="L51" i="26"/>
  <c r="N51" i="26" s="1"/>
  <c r="P51" i="26"/>
  <c r="L47" i="26"/>
  <c r="N47" i="26" s="1"/>
  <c r="P47" i="26"/>
  <c r="L61" i="26"/>
  <c r="N61" i="26" s="1"/>
  <c r="P61" i="26"/>
  <c r="L54" i="26"/>
  <c r="N54" i="26" s="1"/>
  <c r="P54" i="26"/>
  <c r="P192" i="26"/>
  <c r="L192" i="26"/>
  <c r="N192" i="26" s="1"/>
  <c r="L21" i="26"/>
  <c r="N21" i="26" s="1"/>
  <c r="P21" i="26"/>
  <c r="L24" i="26"/>
  <c r="N24" i="26" s="1"/>
  <c r="P24" i="26"/>
  <c r="L28" i="26"/>
  <c r="N28" i="26" s="1"/>
  <c r="P28" i="26"/>
  <c r="L23" i="26"/>
  <c r="N23" i="26" s="1"/>
  <c r="P23" i="26"/>
  <c r="L40" i="26"/>
  <c r="N40" i="26" s="1"/>
  <c r="P40" i="26"/>
  <c r="L50" i="26"/>
  <c r="N50" i="26" s="1"/>
  <c r="P50" i="26"/>
  <c r="L43" i="26"/>
  <c r="N43" i="26" s="1"/>
  <c r="P43" i="26"/>
  <c r="L72" i="26"/>
  <c r="N72" i="26" s="1"/>
  <c r="Q72" i="26" s="1"/>
  <c r="L62" i="26"/>
  <c r="N62" i="26" s="1"/>
  <c r="P62" i="26"/>
  <c r="L56" i="26"/>
  <c r="N56" i="26" s="1"/>
  <c r="P56" i="26"/>
  <c r="L26" i="26"/>
  <c r="N26" i="26" s="1"/>
  <c r="P26" i="26"/>
  <c r="L29" i="26"/>
  <c r="N29" i="26" s="1"/>
  <c r="P29" i="26"/>
  <c r="P138" i="26"/>
  <c r="L138" i="26"/>
  <c r="N138" i="26" s="1"/>
  <c r="P212" i="26"/>
  <c r="S212" i="26" s="1"/>
  <c r="T212" i="26" s="1"/>
  <c r="P213" i="26"/>
  <c r="P214" i="26"/>
  <c r="P196" i="26"/>
  <c r="P197" i="26"/>
  <c r="P198" i="26"/>
  <c r="P182" i="26"/>
  <c r="P181" i="26"/>
  <c r="P165" i="26"/>
  <c r="P164" i="26"/>
  <c r="P166" i="26"/>
  <c r="P149" i="26"/>
  <c r="P148" i="26"/>
  <c r="P150" i="26"/>
  <c r="P133" i="26"/>
  <c r="P132" i="26"/>
  <c r="P134" i="26"/>
  <c r="P117" i="26"/>
  <c r="P116" i="26"/>
  <c r="P118" i="26"/>
  <c r="P202" i="26"/>
  <c r="P186" i="26"/>
  <c r="P170" i="26"/>
  <c r="S170" i="26" s="1"/>
  <c r="T170" i="26" s="1"/>
  <c r="P154" i="26"/>
  <c r="P122" i="26"/>
  <c r="P106" i="26"/>
  <c r="P205" i="26"/>
  <c r="P208" i="26"/>
  <c r="P189" i="26"/>
  <c r="P173" i="26"/>
  <c r="P177" i="26"/>
  <c r="P157" i="26"/>
  <c r="P160" i="26"/>
  <c r="P141" i="26"/>
  <c r="P144" i="26"/>
  <c r="P125" i="26"/>
  <c r="P128" i="26"/>
  <c r="P109" i="26"/>
  <c r="P112" i="26"/>
  <c r="L87" i="26"/>
  <c r="N87" i="26" s="1"/>
  <c r="P87" i="26"/>
  <c r="L31" i="26"/>
  <c r="N31" i="26" s="1"/>
  <c r="S31" i="26" s="1"/>
  <c r="T31" i="26" s="1"/>
  <c r="P77" i="26"/>
  <c r="L77" i="26"/>
  <c r="N77" i="26" s="1"/>
  <c r="Q97" i="42" l="1"/>
  <c r="Q101" i="42"/>
  <c r="S49" i="42"/>
  <c r="T49" i="42" s="1"/>
  <c r="Q41" i="42"/>
  <c r="S60" i="42"/>
  <c r="T60" i="42" s="1"/>
  <c r="Q56" i="42"/>
  <c r="Q26" i="42"/>
  <c r="S54" i="42"/>
  <c r="T54" i="42" s="1"/>
  <c r="Q83" i="42"/>
  <c r="Q43" i="42"/>
  <c r="Q62" i="42"/>
  <c r="Q94" i="42"/>
  <c r="Q47" i="42"/>
  <c r="S50" i="42"/>
  <c r="T50" i="42" s="1"/>
  <c r="S25" i="42"/>
  <c r="T25" i="42" s="1"/>
  <c r="S82" i="41"/>
  <c r="T82" i="41" s="1"/>
  <c r="S49" i="41"/>
  <c r="T49" i="41" s="1"/>
  <c r="Q35" i="41"/>
  <c r="S81" i="41"/>
  <c r="T81" i="41" s="1"/>
  <c r="S61" i="41"/>
  <c r="T61" i="41" s="1"/>
  <c r="S31" i="41"/>
  <c r="T31" i="41" s="1"/>
  <c r="Q101" i="41"/>
  <c r="S100" i="41"/>
  <c r="T100" i="41" s="1"/>
  <c r="Q25" i="41"/>
  <c r="Q97" i="41"/>
  <c r="Q51" i="41"/>
  <c r="S60" i="41"/>
  <c r="T60" i="41" s="1"/>
  <c r="Q42" i="41"/>
  <c r="Q48" i="41"/>
  <c r="Q22" i="41"/>
  <c r="S54" i="41"/>
  <c r="T54" i="41" s="1"/>
  <c r="S47" i="41"/>
  <c r="T47" i="41" s="1"/>
  <c r="S29" i="41"/>
  <c r="T29" i="41" s="1"/>
  <c r="S101" i="40"/>
  <c r="T101" i="40" s="1"/>
  <c r="Q55" i="40"/>
  <c r="S97" i="40"/>
  <c r="T97" i="40" s="1"/>
  <c r="Q22" i="40"/>
  <c r="S78" i="40"/>
  <c r="T78" i="40" s="1"/>
  <c r="Q43" i="40"/>
  <c r="Q40" i="40"/>
  <c r="S25" i="40"/>
  <c r="T25" i="40" s="1"/>
  <c r="Q100" i="40"/>
  <c r="Q41" i="40"/>
  <c r="S50" i="40"/>
  <c r="T50" i="40" s="1"/>
  <c r="Q51" i="40"/>
  <c r="Q31" i="40"/>
  <c r="S28" i="40"/>
  <c r="T28" i="40" s="1"/>
  <c r="Q104" i="42"/>
  <c r="Q75" i="42"/>
  <c r="S105" i="41"/>
  <c r="T105" i="41" s="1"/>
  <c r="Q78" i="41"/>
  <c r="Q105" i="40"/>
  <c r="Q81" i="40"/>
  <c r="S42" i="40"/>
  <c r="T42" i="40" s="1"/>
  <c r="Q23" i="42"/>
  <c r="S24" i="41"/>
  <c r="T24" i="41" s="1"/>
  <c r="Q35" i="42"/>
  <c r="S75" i="40"/>
  <c r="T75" i="40" s="1"/>
  <c r="Q49" i="41"/>
  <c r="Q25" i="42"/>
  <c r="S62" i="42"/>
  <c r="T62" i="42" s="1"/>
  <c r="Q105" i="41"/>
  <c r="S40" i="40"/>
  <c r="T40" i="40" s="1"/>
  <c r="Q30" i="42"/>
  <c r="Q40" i="41"/>
  <c r="Q25" i="40"/>
  <c r="Q48" i="42"/>
  <c r="S105" i="40"/>
  <c r="T105" i="40" s="1"/>
  <c r="S31" i="40"/>
  <c r="T31" i="40" s="1"/>
  <c r="P107" i="42"/>
  <c r="Q60" i="42"/>
  <c r="S49" i="40"/>
  <c r="T49" i="40" s="1"/>
  <c r="Q72" i="42"/>
  <c r="Q60" i="40"/>
  <c r="Q50" i="42"/>
  <c r="Q60" i="41"/>
  <c r="Q81" i="41"/>
  <c r="Q75" i="41"/>
  <c r="S56" i="42"/>
  <c r="T56" i="42" s="1"/>
  <c r="Q39" i="42"/>
  <c r="S47" i="42"/>
  <c r="T47" i="42" s="1"/>
  <c r="Q26" i="40"/>
  <c r="Q31" i="41"/>
  <c r="Q47" i="41"/>
  <c r="S25" i="41"/>
  <c r="T25" i="41" s="1"/>
  <c r="Q51" i="42"/>
  <c r="N21" i="42"/>
  <c r="S83" i="40"/>
  <c r="T83" i="40" s="1"/>
  <c r="S42" i="42"/>
  <c r="T42" i="42" s="1"/>
  <c r="S78" i="41"/>
  <c r="T78" i="41" s="1"/>
  <c r="Q47" i="40"/>
  <c r="S97" i="42"/>
  <c r="T97" i="42" s="1"/>
  <c r="S24" i="42"/>
  <c r="T24" i="42" s="1"/>
  <c r="Q23" i="40"/>
  <c r="Q72" i="41"/>
  <c r="Q62" i="41"/>
  <c r="S104" i="40"/>
  <c r="T104" i="40" s="1"/>
  <c r="Q100" i="42"/>
  <c r="Q39" i="40"/>
  <c r="S55" i="42"/>
  <c r="T55" i="42" s="1"/>
  <c r="Q22" i="42"/>
  <c r="Q100" i="41"/>
  <c r="Q94" i="40"/>
  <c r="Q81" i="42"/>
  <c r="Q72" i="40"/>
  <c r="S55" i="40"/>
  <c r="T55" i="40" s="1"/>
  <c r="S50" i="41"/>
  <c r="T50" i="41" s="1"/>
  <c r="Q61" i="40"/>
  <c r="Q31" i="42"/>
  <c r="Q35" i="40"/>
  <c r="Q78" i="42"/>
  <c r="S48" i="40"/>
  <c r="T48" i="40" s="1"/>
  <c r="Q29" i="42"/>
  <c r="Q82" i="41"/>
  <c r="Q61" i="41"/>
  <c r="S57" i="41"/>
  <c r="T57" i="41" s="1"/>
  <c r="S54" i="40"/>
  <c r="T54" i="40" s="1"/>
  <c r="S101" i="41"/>
  <c r="T101" i="41" s="1"/>
  <c r="Q29" i="41"/>
  <c r="Q50" i="40"/>
  <c r="S81" i="40"/>
  <c r="T81" i="40" s="1"/>
  <c r="S75" i="42"/>
  <c r="T75" i="42" s="1"/>
  <c r="Q23" i="41"/>
  <c r="S28" i="41"/>
  <c r="T28" i="41" s="1"/>
  <c r="S101" i="42"/>
  <c r="T101" i="42" s="1"/>
  <c r="Q57" i="42"/>
  <c r="Q30" i="40"/>
  <c r="Q57" i="40"/>
  <c r="Q41" i="41"/>
  <c r="S28" i="42"/>
  <c r="T28" i="42" s="1"/>
  <c r="Q62" i="40"/>
  <c r="S83" i="41"/>
  <c r="T83" i="41" s="1"/>
  <c r="S97" i="41"/>
  <c r="T97" i="41" s="1"/>
  <c r="Q26" i="41"/>
  <c r="S42" i="41"/>
  <c r="T42" i="41" s="1"/>
  <c r="Q82" i="42"/>
  <c r="Q61" i="42"/>
  <c r="Q105" i="42"/>
  <c r="Q56" i="41"/>
  <c r="S41" i="42"/>
  <c r="T41" i="42" s="1"/>
  <c r="S29" i="40"/>
  <c r="T29" i="40" s="1"/>
  <c r="Q40" i="42"/>
  <c r="Q30" i="41"/>
  <c r="Q86" i="26"/>
  <c r="S43" i="40"/>
  <c r="T43" i="40" s="1"/>
  <c r="S43" i="42"/>
  <c r="T43" i="42" s="1"/>
  <c r="S41" i="40"/>
  <c r="T41" i="40" s="1"/>
  <c r="Q104" i="41"/>
  <c r="S94" i="42"/>
  <c r="T94" i="42" s="1"/>
  <c r="S48" i="41"/>
  <c r="T48" i="41" s="1"/>
  <c r="S51" i="40"/>
  <c r="T51" i="40" s="1"/>
  <c r="S104" i="42"/>
  <c r="T104" i="42" s="1"/>
  <c r="S94" i="41"/>
  <c r="T94" i="41" s="1"/>
  <c r="P107" i="41"/>
  <c r="Q21" i="41"/>
  <c r="Q54" i="42"/>
  <c r="S51" i="41"/>
  <c r="T51" i="41" s="1"/>
  <c r="Q49" i="42"/>
  <c r="S39" i="41"/>
  <c r="T39" i="41" s="1"/>
  <c r="Q78" i="40"/>
  <c r="Q24" i="40"/>
  <c r="S22" i="40"/>
  <c r="T22" i="40" s="1"/>
  <c r="P107" i="40"/>
  <c r="Q54" i="41"/>
  <c r="Q101" i="40"/>
  <c r="Q55" i="41"/>
  <c r="Q82" i="40"/>
  <c r="S35" i="41"/>
  <c r="T35" i="41" s="1"/>
  <c r="S56" i="40"/>
  <c r="T56" i="40" s="1"/>
  <c r="S83" i="42"/>
  <c r="T83" i="42" s="1"/>
  <c r="S22" i="41"/>
  <c r="T22" i="41" s="1"/>
  <c r="N21" i="41"/>
  <c r="S100" i="40"/>
  <c r="T100" i="40" s="1"/>
  <c r="Q97" i="40"/>
  <c r="S43" i="41"/>
  <c r="T43" i="41" s="1"/>
  <c r="N21" i="40"/>
  <c r="Q21" i="40" s="1"/>
  <c r="S26" i="42"/>
  <c r="T26" i="42" s="1"/>
  <c r="A175" i="34"/>
  <c r="A174" i="34"/>
  <c r="Q98" i="36"/>
  <c r="Q81" i="35"/>
  <c r="S91" i="34"/>
  <c r="T91" i="34" s="1"/>
  <c r="S137" i="33"/>
  <c r="T137" i="33" s="1"/>
  <c r="S127" i="36"/>
  <c r="T127" i="36" s="1"/>
  <c r="Q128" i="36"/>
  <c r="S90" i="34"/>
  <c r="T90" i="34" s="1"/>
  <c r="Q28" i="34"/>
  <c r="S194" i="34"/>
  <c r="T194" i="34" s="1"/>
  <c r="S159" i="34"/>
  <c r="T159" i="34" s="1"/>
  <c r="Q145" i="26"/>
  <c r="Q75" i="37"/>
  <c r="Q29" i="35"/>
  <c r="Q39" i="38"/>
  <c r="S51" i="37"/>
  <c r="T51" i="37" s="1"/>
  <c r="Q131" i="36"/>
  <c r="Q121" i="36"/>
  <c r="S99" i="36"/>
  <c r="T99" i="36" s="1"/>
  <c r="Q82" i="35"/>
  <c r="Q91" i="33"/>
  <c r="Q89" i="33"/>
  <c r="S89" i="34"/>
  <c r="T89" i="34" s="1"/>
  <c r="Q83" i="35"/>
  <c r="Q100" i="36"/>
  <c r="Q91" i="26"/>
  <c r="Q124" i="36"/>
  <c r="S98" i="36"/>
  <c r="T98" i="36" s="1"/>
  <c r="S81" i="35"/>
  <c r="T81" i="35" s="1"/>
  <c r="Q91" i="34"/>
  <c r="S55" i="33"/>
  <c r="T55" i="33" s="1"/>
  <c r="S43" i="37"/>
  <c r="T43" i="37" s="1"/>
  <c r="Q39" i="37"/>
  <c r="S49" i="37"/>
  <c r="T49" i="37" s="1"/>
  <c r="Q61" i="37"/>
  <c r="S136" i="34"/>
  <c r="T136" i="34" s="1"/>
  <c r="S153" i="33"/>
  <c r="T153" i="33" s="1"/>
  <c r="S61" i="35"/>
  <c r="T61" i="35" s="1"/>
  <c r="Q26" i="33"/>
  <c r="S57" i="37"/>
  <c r="T57" i="37" s="1"/>
  <c r="Q51" i="34"/>
  <c r="Q99" i="36"/>
  <c r="S82" i="35"/>
  <c r="T82" i="35" s="1"/>
  <c r="S91" i="33"/>
  <c r="T91" i="33" s="1"/>
  <c r="S25" i="33"/>
  <c r="T25" i="33" s="1"/>
  <c r="S163" i="33"/>
  <c r="T163" i="33" s="1"/>
  <c r="S192" i="36"/>
  <c r="T192" i="36" s="1"/>
  <c r="S133" i="36"/>
  <c r="T133" i="36" s="1"/>
  <c r="S132" i="36"/>
  <c r="T132" i="36" s="1"/>
  <c r="S89" i="33"/>
  <c r="T89" i="33" s="1"/>
  <c r="Q89" i="34"/>
  <c r="S83" i="35"/>
  <c r="T83" i="35" s="1"/>
  <c r="S90" i="33"/>
  <c r="T90" i="33" s="1"/>
  <c r="Q90" i="33"/>
  <c r="Q90" i="34"/>
  <c r="S100" i="36"/>
  <c r="T100" i="36" s="1"/>
  <c r="S77" i="34"/>
  <c r="T77" i="34" s="1"/>
  <c r="S178" i="34"/>
  <c r="T178" i="34" s="1"/>
  <c r="S50" i="33"/>
  <c r="T50" i="33" s="1"/>
  <c r="Q73" i="33"/>
  <c r="Q92" i="26"/>
  <c r="Q90" i="26"/>
  <c r="Q81" i="36"/>
  <c r="Q116" i="33"/>
  <c r="Q94" i="36"/>
  <c r="S92" i="36"/>
  <c r="T92" i="36" s="1"/>
  <c r="S81" i="34"/>
  <c r="T81" i="34" s="1"/>
  <c r="Q179" i="36"/>
  <c r="Q155" i="34"/>
  <c r="Q211" i="36"/>
  <c r="S91" i="26"/>
  <c r="T91" i="26" s="1"/>
  <c r="S124" i="36"/>
  <c r="T124" i="36" s="1"/>
  <c r="S131" i="36"/>
  <c r="T131" i="36" s="1"/>
  <c r="S121" i="36"/>
  <c r="T121" i="36" s="1"/>
  <c r="S92" i="26"/>
  <c r="T92" i="26" s="1"/>
  <c r="Q133" i="36"/>
  <c r="Q132" i="36"/>
  <c r="Q24" i="36"/>
  <c r="S26" i="38"/>
  <c r="T26" i="38" s="1"/>
  <c r="S111" i="34"/>
  <c r="T111" i="34" s="1"/>
  <c r="Q72" i="38"/>
  <c r="S40" i="35"/>
  <c r="T40" i="35" s="1"/>
  <c r="Q30" i="33"/>
  <c r="Q55" i="34"/>
  <c r="S56" i="37"/>
  <c r="T56" i="37" s="1"/>
  <c r="Q89" i="36"/>
  <c r="S132" i="34"/>
  <c r="T132" i="34" s="1"/>
  <c r="S212" i="36"/>
  <c r="T212" i="36" s="1"/>
  <c r="S77" i="36"/>
  <c r="T77" i="36" s="1"/>
  <c r="S90" i="26"/>
  <c r="T90" i="26" s="1"/>
  <c r="Q127" i="36"/>
  <c r="S128" i="36"/>
  <c r="T128" i="36" s="1"/>
  <c r="S73" i="34"/>
  <c r="T73" i="34" s="1"/>
  <c r="S88" i="36"/>
  <c r="T88" i="36" s="1"/>
  <c r="Q149" i="36"/>
  <c r="Q25" i="36"/>
  <c r="Q26" i="36"/>
  <c r="Q195" i="33"/>
  <c r="S164" i="33"/>
  <c r="T164" i="33" s="1"/>
  <c r="S148" i="33"/>
  <c r="T148" i="33" s="1"/>
  <c r="S131" i="34"/>
  <c r="T131" i="34" s="1"/>
  <c r="Q196" i="36"/>
  <c r="S62" i="39"/>
  <c r="T62" i="39" s="1"/>
  <c r="Q51" i="39"/>
  <c r="S127" i="33"/>
  <c r="T127" i="33" s="1"/>
  <c r="Q30" i="35"/>
  <c r="Q23" i="37"/>
  <c r="Q164" i="36"/>
  <c r="Q191" i="34"/>
  <c r="S120" i="34"/>
  <c r="T120" i="34" s="1"/>
  <c r="Q97" i="35"/>
  <c r="Q110" i="34"/>
  <c r="Q175" i="33"/>
  <c r="S26" i="39"/>
  <c r="T26" i="39" s="1"/>
  <c r="S50" i="39"/>
  <c r="T50" i="39" s="1"/>
  <c r="S149" i="33"/>
  <c r="T149" i="33" s="1"/>
  <c r="Q43" i="39"/>
  <c r="S31" i="37"/>
  <c r="T31" i="37" s="1"/>
  <c r="Q62" i="34"/>
  <c r="Q43" i="35"/>
  <c r="S60" i="33"/>
  <c r="T60" i="33" s="1"/>
  <c r="S35" i="34"/>
  <c r="T35" i="34" s="1"/>
  <c r="Q22" i="33"/>
  <c r="S48" i="38"/>
  <c r="T48" i="38" s="1"/>
  <c r="S60" i="37"/>
  <c r="T60" i="37" s="1"/>
  <c r="S50" i="36"/>
  <c r="T50" i="36" s="1"/>
  <c r="S30" i="37"/>
  <c r="T30" i="37" s="1"/>
  <c r="S54" i="35"/>
  <c r="T54" i="35" s="1"/>
  <c r="Q31" i="39"/>
  <c r="Q23" i="39"/>
  <c r="Q22" i="39"/>
  <c r="S124" i="33"/>
  <c r="T124" i="33" s="1"/>
  <c r="Q181" i="36"/>
  <c r="Q142" i="34"/>
  <c r="Q71" i="37"/>
  <c r="Q24" i="35"/>
  <c r="Q35" i="33"/>
  <c r="Q55" i="39"/>
  <c r="Q28" i="38"/>
  <c r="S131" i="33"/>
  <c r="T131" i="33" s="1"/>
  <c r="S140" i="33"/>
  <c r="T140" i="33" s="1"/>
  <c r="Q82" i="34"/>
  <c r="Q175" i="36"/>
  <c r="S185" i="36"/>
  <c r="T185" i="36" s="1"/>
  <c r="Q61" i="38"/>
  <c r="Q56" i="36"/>
  <c r="Q54" i="34"/>
  <c r="Q51" i="35"/>
  <c r="Q54" i="33"/>
  <c r="Q72" i="36"/>
  <c r="S81" i="33"/>
  <c r="T81" i="33" s="1"/>
  <c r="S50" i="38"/>
  <c r="T50" i="38" s="1"/>
  <c r="Q50" i="37"/>
  <c r="Q35" i="36"/>
  <c r="Q54" i="39"/>
  <c r="Q61" i="34"/>
  <c r="S180" i="36"/>
  <c r="T180" i="36" s="1"/>
  <c r="S204" i="33"/>
  <c r="T204" i="33" s="1"/>
  <c r="S127" i="34"/>
  <c r="T127" i="34" s="1"/>
  <c r="Q137" i="36"/>
  <c r="Q57" i="38"/>
  <c r="S25" i="38"/>
  <c r="T25" i="38" s="1"/>
  <c r="Q57" i="39"/>
  <c r="Q115" i="33"/>
  <c r="Q187" i="34"/>
  <c r="Q165" i="36"/>
  <c r="Q148" i="36"/>
  <c r="Q90" i="36"/>
  <c r="Q176" i="33"/>
  <c r="Q121" i="33"/>
  <c r="S143" i="34"/>
  <c r="T143" i="34" s="1"/>
  <c r="Q39" i="36"/>
  <c r="Q48" i="35"/>
  <c r="S43" i="34"/>
  <c r="T43" i="34" s="1"/>
  <c r="S62" i="37"/>
  <c r="T62" i="37" s="1"/>
  <c r="S29" i="39"/>
  <c r="T29" i="39" s="1"/>
  <c r="S179" i="34"/>
  <c r="T179" i="34" s="1"/>
  <c r="Q105" i="35"/>
  <c r="S188" i="33"/>
  <c r="T188" i="33" s="1"/>
  <c r="Q169" i="36"/>
  <c r="S169" i="33"/>
  <c r="T169" i="33" s="1"/>
  <c r="Q72" i="34"/>
  <c r="S60" i="36"/>
  <c r="T60" i="36" s="1"/>
  <c r="Q55" i="36"/>
  <c r="S35" i="37"/>
  <c r="T35" i="37" s="1"/>
  <c r="Q60" i="35"/>
  <c r="Q24" i="34"/>
  <c r="Q51" i="33"/>
  <c r="S211" i="33"/>
  <c r="T211" i="33" s="1"/>
  <c r="Q82" i="36"/>
  <c r="Q95" i="36"/>
  <c r="S74" i="34"/>
  <c r="T74" i="34" s="1"/>
  <c r="S128" i="33"/>
  <c r="T128" i="33" s="1"/>
  <c r="S93" i="36"/>
  <c r="T93" i="36" s="1"/>
  <c r="Q48" i="34"/>
  <c r="Q31" i="35"/>
  <c r="S47" i="37"/>
  <c r="T47" i="37" s="1"/>
  <c r="Q35" i="35"/>
  <c r="Q43" i="38"/>
  <c r="S115" i="34"/>
  <c r="T115" i="34" s="1"/>
  <c r="S30" i="38"/>
  <c r="T30" i="38" s="1"/>
  <c r="S61" i="39"/>
  <c r="T61" i="39" s="1"/>
  <c r="Q60" i="38"/>
  <c r="Q29" i="37"/>
  <c r="S39" i="33"/>
  <c r="T39" i="33" s="1"/>
  <c r="Q104" i="35"/>
  <c r="Q195" i="34"/>
  <c r="S76" i="36"/>
  <c r="T76" i="36" s="1"/>
  <c r="Q201" i="36"/>
  <c r="S112" i="33"/>
  <c r="T112" i="33" s="1"/>
  <c r="S48" i="39"/>
  <c r="T48" i="39" s="1"/>
  <c r="Q55" i="38"/>
  <c r="Q55" i="37"/>
  <c r="Q41" i="36"/>
  <c r="S26" i="37"/>
  <c r="T26" i="37" s="1"/>
  <c r="S50" i="35"/>
  <c r="T50" i="35" s="1"/>
  <c r="Q42" i="34"/>
  <c r="S56" i="33"/>
  <c r="T56" i="33" s="1"/>
  <c r="Q171" i="34"/>
  <c r="Q139" i="34"/>
  <c r="Q30" i="39"/>
  <c r="S28" i="33"/>
  <c r="T28" i="33" s="1"/>
  <c r="Q179" i="33"/>
  <c r="S172" i="33"/>
  <c r="T172" i="33" s="1"/>
  <c r="S104" i="36"/>
  <c r="T104" i="36" s="1"/>
  <c r="Q104" i="34"/>
  <c r="S160" i="33"/>
  <c r="T160" i="33" s="1"/>
  <c r="Q48" i="36"/>
  <c r="S62" i="35"/>
  <c r="T62" i="35" s="1"/>
  <c r="Q31" i="34"/>
  <c r="S28" i="35"/>
  <c r="T28" i="35" s="1"/>
  <c r="Q40" i="33"/>
  <c r="S57" i="35"/>
  <c r="T57" i="35" s="1"/>
  <c r="Q56" i="39"/>
  <c r="S24" i="39"/>
  <c r="T24" i="39" s="1"/>
  <c r="Q42" i="36"/>
  <c r="S48" i="33"/>
  <c r="T48" i="33" s="1"/>
  <c r="S25" i="34"/>
  <c r="T25" i="34" s="1"/>
  <c r="S116" i="34"/>
  <c r="T116" i="34" s="1"/>
  <c r="S143" i="36"/>
  <c r="T143" i="36" s="1"/>
  <c r="Q82" i="33"/>
  <c r="S191" i="33"/>
  <c r="T191" i="33" s="1"/>
  <c r="Q159" i="36"/>
  <c r="S62" i="36"/>
  <c r="T62" i="36" s="1"/>
  <c r="Q28" i="36"/>
  <c r="S49" i="34"/>
  <c r="T49" i="34" s="1"/>
  <c r="S47" i="35"/>
  <c r="T47" i="35" s="1"/>
  <c r="Q49" i="33"/>
  <c r="Q22" i="34"/>
  <c r="S47" i="33"/>
  <c r="T47" i="33" s="1"/>
  <c r="Q162" i="34"/>
  <c r="Q213" i="33"/>
  <c r="Q197" i="36"/>
  <c r="S78" i="36"/>
  <c r="T78" i="36" s="1"/>
  <c r="Q208" i="33"/>
  <c r="Q41" i="33"/>
  <c r="Q41" i="35"/>
  <c r="S57" i="33"/>
  <c r="T57" i="33" s="1"/>
  <c r="S146" i="34"/>
  <c r="T146" i="34" s="1"/>
  <c r="Q188" i="36"/>
  <c r="S174" i="34"/>
  <c r="T174" i="34" s="1"/>
  <c r="Q144" i="33"/>
  <c r="S49" i="35"/>
  <c r="T49" i="35" s="1"/>
  <c r="S31" i="33"/>
  <c r="T31" i="33" s="1"/>
  <c r="Q28" i="39"/>
  <c r="Q62" i="38"/>
  <c r="Q43" i="36"/>
  <c r="Q41" i="34"/>
  <c r="S31" i="38"/>
  <c r="T31" i="38" s="1"/>
  <c r="S23" i="36"/>
  <c r="T23" i="36" s="1"/>
  <c r="Q51" i="36"/>
  <c r="S56" i="35"/>
  <c r="T56" i="35" s="1"/>
  <c r="Q26" i="34"/>
  <c r="S39" i="34"/>
  <c r="T39" i="34" s="1"/>
  <c r="Q24" i="33"/>
  <c r="Q60" i="39"/>
  <c r="S39" i="39"/>
  <c r="T39" i="39" s="1"/>
  <c r="Q35" i="38"/>
  <c r="Q55" i="35"/>
  <c r="Q57" i="36"/>
  <c r="S25" i="35"/>
  <c r="T25" i="35" s="1"/>
  <c r="Q22" i="37"/>
  <c r="Q50" i="34"/>
  <c r="Q83" i="36"/>
  <c r="Q140" i="36"/>
  <c r="S180" i="33"/>
  <c r="T180" i="33" s="1"/>
  <c r="S80" i="34"/>
  <c r="T80" i="34" s="1"/>
  <c r="S75" i="36"/>
  <c r="T75" i="36" s="1"/>
  <c r="Q74" i="33"/>
  <c r="Q40" i="39"/>
  <c r="S22" i="38"/>
  <c r="T22" i="38" s="1"/>
  <c r="S60" i="34"/>
  <c r="T60" i="34" s="1"/>
  <c r="Q61" i="33"/>
  <c r="Q78" i="35"/>
  <c r="S165" i="33"/>
  <c r="T165" i="33" s="1"/>
  <c r="S91" i="36"/>
  <c r="T91" i="36" s="1"/>
  <c r="S192" i="33"/>
  <c r="T192" i="33" s="1"/>
  <c r="Q190" i="34"/>
  <c r="Q56" i="38"/>
  <c r="S40" i="34"/>
  <c r="T40" i="34" s="1"/>
  <c r="S54" i="36"/>
  <c r="T54" i="36" s="1"/>
  <c r="S29" i="34"/>
  <c r="T29" i="34" s="1"/>
  <c r="S28" i="37"/>
  <c r="T28" i="37" s="1"/>
  <c r="Q163" i="36"/>
  <c r="Q123" i="34"/>
  <c r="Q207" i="33"/>
  <c r="S160" i="36"/>
  <c r="T160" i="36" s="1"/>
  <c r="S191" i="36"/>
  <c r="T191" i="36" s="1"/>
  <c r="S175" i="34"/>
  <c r="T175" i="34" s="1"/>
  <c r="S47" i="36"/>
  <c r="T47" i="36" s="1"/>
  <c r="Q62" i="33"/>
  <c r="Q114" i="34"/>
  <c r="Q147" i="34"/>
  <c r="S85" i="34"/>
  <c r="T85" i="34" s="1"/>
  <c r="Q196" i="33"/>
  <c r="S73" i="36"/>
  <c r="T73" i="36" s="1"/>
  <c r="Q72" i="33"/>
  <c r="S201" i="33"/>
  <c r="T201" i="33" s="1"/>
  <c r="Q107" i="34"/>
  <c r="Q144" i="36"/>
  <c r="Q41" i="38"/>
  <c r="S54" i="38"/>
  <c r="T54" i="38" s="1"/>
  <c r="Q54" i="37"/>
  <c r="S30" i="36"/>
  <c r="T30" i="36" s="1"/>
  <c r="S23" i="38"/>
  <c r="T23" i="38" s="1"/>
  <c r="S22" i="36"/>
  <c r="T22" i="36" s="1"/>
  <c r="S24" i="37"/>
  <c r="T24" i="37" s="1"/>
  <c r="S132" i="33"/>
  <c r="T132" i="33" s="1"/>
  <c r="Q164" i="34"/>
  <c r="Q213" i="36"/>
  <c r="Q159" i="33"/>
  <c r="Q87" i="36"/>
  <c r="S184" i="34"/>
  <c r="T184" i="34" s="1"/>
  <c r="Q49" i="39"/>
  <c r="S40" i="37"/>
  <c r="T40" i="37" s="1"/>
  <c r="S23" i="35"/>
  <c r="T23" i="35" s="1"/>
  <c r="S42" i="33"/>
  <c r="T42" i="33" s="1"/>
  <c r="Q43" i="33"/>
  <c r="Q180" i="34"/>
  <c r="S86" i="34"/>
  <c r="T86" i="34" s="1"/>
  <c r="S133" i="33"/>
  <c r="T133" i="33" s="1"/>
  <c r="S207" i="36"/>
  <c r="T207" i="36" s="1"/>
  <c r="S185" i="33"/>
  <c r="T185" i="33" s="1"/>
  <c r="S158" i="34"/>
  <c r="T158" i="34" s="1"/>
  <c r="Q51" i="38"/>
  <c r="Q39" i="35"/>
  <c r="S42" i="39"/>
  <c r="T42" i="39" s="1"/>
  <c r="Q40" i="38"/>
  <c r="S49" i="36"/>
  <c r="T49" i="36" s="1"/>
  <c r="S48" i="37"/>
  <c r="T48" i="37" s="1"/>
  <c r="Q130" i="34"/>
  <c r="Q84" i="36"/>
  <c r="Q85" i="33"/>
  <c r="S153" i="36"/>
  <c r="T153" i="36" s="1"/>
  <c r="S208" i="36"/>
  <c r="T208" i="36" s="1"/>
  <c r="S168" i="34"/>
  <c r="T168" i="34" s="1"/>
  <c r="Q42" i="38"/>
  <c r="S156" i="36"/>
  <c r="T156" i="36" s="1"/>
  <c r="S74" i="37"/>
  <c r="T74" i="37" s="1"/>
  <c r="S105" i="33"/>
  <c r="T105" i="33" s="1"/>
  <c r="S22" i="35"/>
  <c r="T22" i="35" s="1"/>
  <c r="Q47" i="39"/>
  <c r="S40" i="36"/>
  <c r="T40" i="36" s="1"/>
  <c r="S25" i="37"/>
  <c r="T25" i="37" s="1"/>
  <c r="Q147" i="33"/>
  <c r="Q212" i="33"/>
  <c r="S86" i="33"/>
  <c r="T86" i="33" s="1"/>
  <c r="S94" i="35"/>
  <c r="T94" i="35" s="1"/>
  <c r="Q42" i="35"/>
  <c r="Q29" i="33"/>
  <c r="S42" i="37"/>
  <c r="T42" i="37" s="1"/>
  <c r="S204" i="36"/>
  <c r="T204" i="36" s="1"/>
  <c r="S163" i="34"/>
  <c r="T163" i="34" s="1"/>
  <c r="Q74" i="36"/>
  <c r="S71" i="38"/>
  <c r="T71" i="38" s="1"/>
  <c r="Q72" i="35"/>
  <c r="Q41" i="39"/>
  <c r="S24" i="38"/>
  <c r="T24" i="38" s="1"/>
  <c r="Q41" i="37"/>
  <c r="S31" i="36"/>
  <c r="T31" i="36" s="1"/>
  <c r="S57" i="34"/>
  <c r="T57" i="34" s="1"/>
  <c r="Q29" i="38"/>
  <c r="Q61" i="36"/>
  <c r="S23" i="34"/>
  <c r="T23" i="34" s="1"/>
  <c r="S49" i="38"/>
  <c r="T49" i="38" s="1"/>
  <c r="Q26" i="35"/>
  <c r="Q147" i="36"/>
  <c r="Q197" i="33"/>
  <c r="S35" i="39"/>
  <c r="T35" i="39" s="1"/>
  <c r="S30" i="34"/>
  <c r="T30" i="34" s="1"/>
  <c r="S25" i="39"/>
  <c r="T25" i="39" s="1"/>
  <c r="S47" i="34"/>
  <c r="T47" i="34" s="1"/>
  <c r="S117" i="33"/>
  <c r="T117" i="33" s="1"/>
  <c r="Q181" i="33"/>
  <c r="S172" i="36"/>
  <c r="T172" i="36" s="1"/>
  <c r="S80" i="33"/>
  <c r="T80" i="33" s="1"/>
  <c r="S75" i="35"/>
  <c r="T75" i="35" s="1"/>
  <c r="S152" i="34"/>
  <c r="T152" i="34" s="1"/>
  <c r="S29" i="36"/>
  <c r="T29" i="36" s="1"/>
  <c r="Q23" i="33"/>
  <c r="S195" i="36"/>
  <c r="T195" i="36" s="1"/>
  <c r="Q148" i="34"/>
  <c r="Q77" i="33"/>
  <c r="S108" i="33"/>
  <c r="T108" i="33" s="1"/>
  <c r="S143" i="33"/>
  <c r="T143" i="33" s="1"/>
  <c r="S126" i="34"/>
  <c r="T126" i="34" s="1"/>
  <c r="S176" i="36"/>
  <c r="T176" i="36" s="1"/>
  <c r="Q176" i="36"/>
  <c r="S26" i="35"/>
  <c r="T26" i="35" s="1"/>
  <c r="S60" i="39"/>
  <c r="T60" i="39" s="1"/>
  <c r="Q39" i="39"/>
  <c r="S35" i="38"/>
  <c r="T35" i="38" s="1"/>
  <c r="S55" i="35"/>
  <c r="T55" i="35" s="1"/>
  <c r="S28" i="34"/>
  <c r="T28" i="34" s="1"/>
  <c r="Q194" i="34"/>
  <c r="Q148" i="33"/>
  <c r="S149" i="36"/>
  <c r="T149" i="36" s="1"/>
  <c r="Q159" i="34"/>
  <c r="Q73" i="34"/>
  <c r="S75" i="37"/>
  <c r="T75" i="37" s="1"/>
  <c r="S73" i="33"/>
  <c r="T73" i="33" s="1"/>
  <c r="P215" i="36"/>
  <c r="S29" i="35"/>
  <c r="T29" i="35" s="1"/>
  <c r="Q50" i="33"/>
  <c r="Q62" i="39"/>
  <c r="S51" i="39"/>
  <c r="T51" i="39" s="1"/>
  <c r="S39" i="38"/>
  <c r="T39" i="38" s="1"/>
  <c r="Q51" i="37"/>
  <c r="Q178" i="34"/>
  <c r="S97" i="35"/>
  <c r="T97" i="35" s="1"/>
  <c r="S110" i="34"/>
  <c r="T110" i="34" s="1"/>
  <c r="S175" i="33"/>
  <c r="T175" i="33" s="1"/>
  <c r="S24" i="36"/>
  <c r="T24" i="36" s="1"/>
  <c r="S41" i="33"/>
  <c r="T41" i="33" s="1"/>
  <c r="S35" i="36"/>
  <c r="T35" i="36" s="1"/>
  <c r="N21" i="36"/>
  <c r="Q21" i="36" s="1"/>
  <c r="Q61" i="39"/>
  <c r="S60" i="38"/>
  <c r="T60" i="38" s="1"/>
  <c r="Q60" i="37"/>
  <c r="Q50" i="36"/>
  <c r="Q30" i="37"/>
  <c r="S43" i="38"/>
  <c r="T43" i="38" s="1"/>
  <c r="S42" i="38"/>
  <c r="T42" i="38" s="1"/>
  <c r="S147" i="36"/>
  <c r="T147" i="36" s="1"/>
  <c r="Q115" i="34"/>
  <c r="S197" i="33"/>
  <c r="T197" i="33" s="1"/>
  <c r="Q156" i="36"/>
  <c r="S101" i="35"/>
  <c r="T101" i="35" s="1"/>
  <c r="Q74" i="37"/>
  <c r="Q105" i="33"/>
  <c r="Q22" i="35"/>
  <c r="S47" i="39"/>
  <c r="T47" i="39" s="1"/>
  <c r="Q35" i="39"/>
  <c r="Q30" i="38"/>
  <c r="Q40" i="36"/>
  <c r="Q25" i="37"/>
  <c r="P215" i="33"/>
  <c r="S147" i="33"/>
  <c r="T147" i="33" s="1"/>
  <c r="S212" i="33"/>
  <c r="T212" i="33" s="1"/>
  <c r="Q86" i="33"/>
  <c r="Q94" i="35"/>
  <c r="S57" i="36"/>
  <c r="T57" i="36" s="1"/>
  <c r="Q25" i="35"/>
  <c r="Q26" i="39"/>
  <c r="P107" i="35"/>
  <c r="Q101" i="35"/>
  <c r="N21" i="33"/>
  <c r="N21" i="38"/>
  <c r="Q21" i="38" s="1"/>
  <c r="S42" i="36"/>
  <c r="T42" i="36" s="1"/>
  <c r="S54" i="34"/>
  <c r="T54" i="34" s="1"/>
  <c r="S51" i="35"/>
  <c r="T51" i="35" s="1"/>
  <c r="S54" i="33"/>
  <c r="T54" i="33" s="1"/>
  <c r="S29" i="37"/>
  <c r="T29" i="37" s="1"/>
  <c r="Q39" i="33"/>
  <c r="S104" i="35"/>
  <c r="T104" i="35" s="1"/>
  <c r="S195" i="34"/>
  <c r="T195" i="34" s="1"/>
  <c r="Q76" i="36"/>
  <c r="S201" i="36"/>
  <c r="T201" i="36" s="1"/>
  <c r="Q112" i="33"/>
  <c r="Q48" i="39"/>
  <c r="S55" i="38"/>
  <c r="T55" i="38" s="1"/>
  <c r="S55" i="37"/>
  <c r="T55" i="37" s="1"/>
  <c r="S41" i="36"/>
  <c r="T41" i="36" s="1"/>
  <c r="Q26" i="37"/>
  <c r="Q50" i="35"/>
  <c r="S42" i="34"/>
  <c r="T42" i="34" s="1"/>
  <c r="Q56" i="33"/>
  <c r="S171" i="34"/>
  <c r="T171" i="34" s="1"/>
  <c r="S139" i="34"/>
  <c r="T139" i="34" s="1"/>
  <c r="Q54" i="35"/>
  <c r="S42" i="35"/>
  <c r="T42" i="35" s="1"/>
  <c r="P82" i="37"/>
  <c r="Q50" i="39"/>
  <c r="P197" i="34"/>
  <c r="P81" i="38"/>
  <c r="N21" i="37"/>
  <c r="S25" i="36"/>
  <c r="T25" i="36" s="1"/>
  <c r="Q55" i="33"/>
  <c r="Q43" i="37"/>
  <c r="S39" i="37"/>
  <c r="T39" i="37" s="1"/>
  <c r="Q48" i="33"/>
  <c r="Q25" i="34"/>
  <c r="Q116" i="34"/>
  <c r="Q143" i="36"/>
  <c r="S82" i="33"/>
  <c r="T82" i="33" s="1"/>
  <c r="Q191" i="33"/>
  <c r="S159" i="36"/>
  <c r="T159" i="36" s="1"/>
  <c r="Q62" i="36"/>
  <c r="S28" i="36"/>
  <c r="T28" i="36" s="1"/>
  <c r="Q49" i="34"/>
  <c r="Q47" i="35"/>
  <c r="S49" i="33"/>
  <c r="T49" i="33" s="1"/>
  <c r="S22" i="34"/>
  <c r="T22" i="34" s="1"/>
  <c r="Q47" i="33"/>
  <c r="S162" i="34"/>
  <c r="T162" i="34" s="1"/>
  <c r="S213" i="33"/>
  <c r="T213" i="33" s="1"/>
  <c r="S197" i="36"/>
  <c r="T197" i="36" s="1"/>
  <c r="Q78" i="36"/>
  <c r="S208" i="33"/>
  <c r="T208" i="33" s="1"/>
  <c r="Q50" i="38"/>
  <c r="S50" i="37"/>
  <c r="T50" i="37" s="1"/>
  <c r="S30" i="39"/>
  <c r="T30" i="39" s="1"/>
  <c r="S23" i="39"/>
  <c r="T23" i="39" s="1"/>
  <c r="Q149" i="33"/>
  <c r="S107" i="34"/>
  <c r="T107" i="34" s="1"/>
  <c r="S100" i="35"/>
  <c r="T100" i="35" s="1"/>
  <c r="Q100" i="35"/>
  <c r="S144" i="36"/>
  <c r="T144" i="36" s="1"/>
  <c r="N21" i="34"/>
  <c r="Q21" i="34" s="1"/>
  <c r="S41" i="38"/>
  <c r="T41" i="38" s="1"/>
  <c r="Q54" i="38"/>
  <c r="S54" i="37"/>
  <c r="T54" i="37" s="1"/>
  <c r="Q30" i="36"/>
  <c r="S54" i="39"/>
  <c r="T54" i="39" s="1"/>
  <c r="S61" i="34"/>
  <c r="T61" i="34" s="1"/>
  <c r="Q180" i="36"/>
  <c r="Q204" i="33"/>
  <c r="Q127" i="34"/>
  <c r="S137" i="36"/>
  <c r="T137" i="36" s="1"/>
  <c r="Q57" i="35"/>
  <c r="Q23" i="38"/>
  <c r="Q49" i="37"/>
  <c r="S26" i="36"/>
  <c r="T26" i="36" s="1"/>
  <c r="S61" i="37"/>
  <c r="T61" i="37" s="1"/>
  <c r="Q47" i="38"/>
  <c r="S47" i="38"/>
  <c r="T47" i="38" s="1"/>
  <c r="S116" i="33"/>
  <c r="T116" i="33" s="1"/>
  <c r="Q77" i="34"/>
  <c r="Q136" i="34"/>
  <c r="S94" i="36"/>
  <c r="T94" i="36" s="1"/>
  <c r="Q92" i="36"/>
  <c r="S72" i="38"/>
  <c r="T72" i="38" s="1"/>
  <c r="Q40" i="35"/>
  <c r="Q31" i="38"/>
  <c r="Q23" i="36"/>
  <c r="Q43" i="34"/>
  <c r="Q24" i="37"/>
  <c r="Q132" i="33"/>
  <c r="S164" i="34"/>
  <c r="T164" i="34" s="1"/>
  <c r="S213" i="36"/>
  <c r="T213" i="36" s="1"/>
  <c r="S159" i="33"/>
  <c r="T159" i="33" s="1"/>
  <c r="S87" i="36"/>
  <c r="T87" i="36" s="1"/>
  <c r="Q184" i="34"/>
  <c r="S35" i="35"/>
  <c r="T35" i="35" s="1"/>
  <c r="Q61" i="35"/>
  <c r="S26" i="33"/>
  <c r="T26" i="33" s="1"/>
  <c r="Q57" i="37"/>
  <c r="S51" i="34"/>
  <c r="T51" i="34" s="1"/>
  <c r="S179" i="36"/>
  <c r="T179" i="36" s="1"/>
  <c r="S155" i="34"/>
  <c r="T155" i="34" s="1"/>
  <c r="Q132" i="34"/>
  <c r="Q212" i="36"/>
  <c r="Q77" i="36"/>
  <c r="Q137" i="33"/>
  <c r="Q127" i="33"/>
  <c r="S30" i="35"/>
  <c r="T30" i="35" s="1"/>
  <c r="Q56" i="35"/>
  <c r="S26" i="34"/>
  <c r="T26" i="34" s="1"/>
  <c r="Q39" i="34"/>
  <c r="S24" i="33"/>
  <c r="T24" i="33" s="1"/>
  <c r="Q195" i="36"/>
  <c r="S148" i="34"/>
  <c r="T148" i="34" s="1"/>
  <c r="S77" i="33"/>
  <c r="T77" i="33" s="1"/>
  <c r="Q108" i="33"/>
  <c r="Q143" i="33"/>
  <c r="Q126" i="34"/>
  <c r="Q103" i="36"/>
  <c r="S103" i="36"/>
  <c r="T103" i="36" s="1"/>
  <c r="S23" i="37"/>
  <c r="T23" i="37" s="1"/>
  <c r="Q156" i="33"/>
  <c r="S156" i="33"/>
  <c r="T156" i="33" s="1"/>
  <c r="S29" i="33"/>
  <c r="T29" i="33" s="1"/>
  <c r="Q42" i="37"/>
  <c r="Q204" i="36"/>
  <c r="Q163" i="34"/>
  <c r="S74" i="36"/>
  <c r="T74" i="36" s="1"/>
  <c r="Q71" i="38"/>
  <c r="S72" i="35"/>
  <c r="T72" i="35" s="1"/>
  <c r="S41" i="39"/>
  <c r="T41" i="39" s="1"/>
  <c r="Q24" i="38"/>
  <c r="S41" i="37"/>
  <c r="T41" i="37" s="1"/>
  <c r="Q31" i="36"/>
  <c r="Q57" i="34"/>
  <c r="Q25" i="33"/>
  <c r="Q163" i="33"/>
  <c r="Q164" i="33"/>
  <c r="S81" i="36"/>
  <c r="T81" i="36" s="1"/>
  <c r="Q111" i="34"/>
  <c r="Q192" i="36"/>
  <c r="S43" i="36"/>
  <c r="T43" i="36" s="1"/>
  <c r="S41" i="34"/>
  <c r="T41" i="34" s="1"/>
  <c r="S48" i="34"/>
  <c r="T48" i="34" s="1"/>
  <c r="S31" i="35"/>
  <c r="T31" i="35" s="1"/>
  <c r="Q47" i="37"/>
  <c r="S50" i="34"/>
  <c r="T50" i="34" s="1"/>
  <c r="S83" i="36"/>
  <c r="T83" i="36" s="1"/>
  <c r="S140" i="36"/>
  <c r="T140" i="36" s="1"/>
  <c r="Q180" i="33"/>
  <c r="Q80" i="34"/>
  <c r="Q75" i="36"/>
  <c r="S74" i="33"/>
  <c r="T74" i="33" s="1"/>
  <c r="S40" i="39"/>
  <c r="T40" i="39" s="1"/>
  <c r="Q31" i="37"/>
  <c r="S62" i="34"/>
  <c r="T62" i="34" s="1"/>
  <c r="S30" i="33"/>
  <c r="T30" i="33" s="1"/>
  <c r="Q62" i="37"/>
  <c r="Q29" i="39"/>
  <c r="Q179" i="34"/>
  <c r="S105" i="35"/>
  <c r="T105" i="35" s="1"/>
  <c r="Q188" i="33"/>
  <c r="S169" i="36"/>
  <c r="T169" i="36" s="1"/>
  <c r="Q169" i="33"/>
  <c r="S72" i="34"/>
  <c r="T72" i="34" s="1"/>
  <c r="Q24" i="39"/>
  <c r="Q40" i="34"/>
  <c r="Q54" i="36"/>
  <c r="Q29" i="34"/>
  <c r="Q28" i="37"/>
  <c r="S163" i="36"/>
  <c r="T163" i="36" s="1"/>
  <c r="S123" i="34"/>
  <c r="T123" i="34" s="1"/>
  <c r="S207" i="33"/>
  <c r="T207" i="33" s="1"/>
  <c r="Q160" i="36"/>
  <c r="Q191" i="36"/>
  <c r="Q175" i="34"/>
  <c r="Q47" i="36"/>
  <c r="Q60" i="33"/>
  <c r="Q35" i="34"/>
  <c r="S22" i="33"/>
  <c r="T22" i="33" s="1"/>
  <c r="Q48" i="38"/>
  <c r="S211" i="36"/>
  <c r="T211" i="36" s="1"/>
  <c r="S164" i="36"/>
  <c r="T164" i="36" s="1"/>
  <c r="S191" i="34"/>
  <c r="T191" i="34" s="1"/>
  <c r="Q120" i="34"/>
  <c r="Q26" i="38"/>
  <c r="S41" i="35"/>
  <c r="T41" i="35" s="1"/>
  <c r="Q28" i="33"/>
  <c r="S179" i="33"/>
  <c r="T179" i="33" s="1"/>
  <c r="Q172" i="33"/>
  <c r="Q104" i="36"/>
  <c r="S104" i="34"/>
  <c r="T104" i="34" s="1"/>
  <c r="Q160" i="33"/>
  <c r="S48" i="36"/>
  <c r="T48" i="36" s="1"/>
  <c r="Q62" i="35"/>
  <c r="S31" i="34"/>
  <c r="T31" i="34" s="1"/>
  <c r="Q28" i="35"/>
  <c r="S40" i="33"/>
  <c r="T40" i="33" s="1"/>
  <c r="S29" i="38"/>
  <c r="T29" i="38" s="1"/>
  <c r="S51" i="33"/>
  <c r="T51" i="33" s="1"/>
  <c r="Q211" i="33"/>
  <c r="S82" i="36"/>
  <c r="T82" i="36" s="1"/>
  <c r="S95" i="36"/>
  <c r="T95" i="36" s="1"/>
  <c r="Q74" i="34"/>
  <c r="Q128" i="33"/>
  <c r="Q93" i="36"/>
  <c r="S43" i="39"/>
  <c r="T43" i="39" s="1"/>
  <c r="S24" i="35"/>
  <c r="T24" i="35" s="1"/>
  <c r="S35" i="33"/>
  <c r="T35" i="33" s="1"/>
  <c r="S55" i="39"/>
  <c r="T55" i="39" s="1"/>
  <c r="S28" i="38"/>
  <c r="T28" i="38" s="1"/>
  <c r="Q131" i="33"/>
  <c r="Q140" i="33"/>
  <c r="S82" i="34"/>
  <c r="T82" i="34" s="1"/>
  <c r="S175" i="36"/>
  <c r="T175" i="36" s="1"/>
  <c r="Q185" i="36"/>
  <c r="S61" i="38"/>
  <c r="T61" i="38" s="1"/>
  <c r="S56" i="36"/>
  <c r="T56" i="36" s="1"/>
  <c r="Q23" i="34"/>
  <c r="Q49" i="38"/>
  <c r="Q22" i="38"/>
  <c r="S55" i="34"/>
  <c r="T55" i="34" s="1"/>
  <c r="Q56" i="37"/>
  <c r="S195" i="33"/>
  <c r="T195" i="33" s="1"/>
  <c r="S196" i="36"/>
  <c r="T196" i="36" s="1"/>
  <c r="Q131" i="34"/>
  <c r="Q81" i="34"/>
  <c r="S89" i="36"/>
  <c r="T89" i="36" s="1"/>
  <c r="Q88" i="36"/>
  <c r="Q153" i="33"/>
  <c r="S51" i="36"/>
  <c r="T51" i="36" s="1"/>
  <c r="S49" i="39"/>
  <c r="T49" i="39" s="1"/>
  <c r="Q40" i="37"/>
  <c r="Q23" i="35"/>
  <c r="Q42" i="33"/>
  <c r="S43" i="33"/>
  <c r="T43" i="33" s="1"/>
  <c r="S180" i="34"/>
  <c r="T180" i="34" s="1"/>
  <c r="Q86" i="34"/>
  <c r="Q133" i="33"/>
  <c r="Q207" i="36"/>
  <c r="Q185" i="33"/>
  <c r="Q158" i="34"/>
  <c r="S51" i="38"/>
  <c r="T51" i="38" s="1"/>
  <c r="S39" i="35"/>
  <c r="T39" i="35" s="1"/>
  <c r="S62" i="33"/>
  <c r="T62" i="33" s="1"/>
  <c r="S114" i="34"/>
  <c r="T114" i="34" s="1"/>
  <c r="S147" i="34"/>
  <c r="T147" i="34" s="1"/>
  <c r="Q85" i="34"/>
  <c r="S196" i="33"/>
  <c r="T196" i="33" s="1"/>
  <c r="Q73" i="36"/>
  <c r="S72" i="33"/>
  <c r="T72" i="33" s="1"/>
  <c r="Q201" i="33"/>
  <c r="N21" i="39"/>
  <c r="Q42" i="39"/>
  <c r="S40" i="38"/>
  <c r="T40" i="38" s="1"/>
  <c r="Q49" i="36"/>
  <c r="Q48" i="37"/>
  <c r="S56" i="34"/>
  <c r="T56" i="34" s="1"/>
  <c r="Q56" i="34"/>
  <c r="Q111" i="33"/>
  <c r="S111" i="33"/>
  <c r="T111" i="33" s="1"/>
  <c r="S72" i="36"/>
  <c r="T72" i="36" s="1"/>
  <c r="Q81" i="33"/>
  <c r="S31" i="39"/>
  <c r="T31" i="39" s="1"/>
  <c r="S22" i="37"/>
  <c r="T22" i="37" s="1"/>
  <c r="Q57" i="33"/>
  <c r="Q146" i="34"/>
  <c r="S188" i="36"/>
  <c r="T188" i="36" s="1"/>
  <c r="Q174" i="34"/>
  <c r="S144" i="33"/>
  <c r="T144" i="33" s="1"/>
  <c r="Q49" i="35"/>
  <c r="N21" i="35"/>
  <c r="Q31" i="33"/>
  <c r="S28" i="39"/>
  <c r="T28" i="39" s="1"/>
  <c r="S62" i="38"/>
  <c r="T62" i="38" s="1"/>
  <c r="S22" i="39"/>
  <c r="T22" i="39" s="1"/>
  <c r="Q124" i="33"/>
  <c r="S181" i="36"/>
  <c r="T181" i="36" s="1"/>
  <c r="S142" i="34"/>
  <c r="T142" i="34" s="1"/>
  <c r="S71" i="37"/>
  <c r="T71" i="37" s="1"/>
  <c r="S61" i="36"/>
  <c r="T61" i="36" s="1"/>
  <c r="P83" i="39"/>
  <c r="S57" i="38"/>
  <c r="T57" i="38" s="1"/>
  <c r="Q25" i="38"/>
  <c r="S57" i="39"/>
  <c r="T57" i="39" s="1"/>
  <c r="S115" i="33"/>
  <c r="T115" i="33" s="1"/>
  <c r="S187" i="34"/>
  <c r="T187" i="34" s="1"/>
  <c r="S165" i="36"/>
  <c r="T165" i="36" s="1"/>
  <c r="S148" i="36"/>
  <c r="T148" i="36" s="1"/>
  <c r="S90" i="36"/>
  <c r="T90" i="36" s="1"/>
  <c r="S176" i="33"/>
  <c r="T176" i="33" s="1"/>
  <c r="S121" i="33"/>
  <c r="T121" i="33" s="1"/>
  <c r="Q143" i="34"/>
  <c r="S39" i="36"/>
  <c r="T39" i="36" s="1"/>
  <c r="S48" i="35"/>
  <c r="T48" i="35" s="1"/>
  <c r="S56" i="39"/>
  <c r="T56" i="39" s="1"/>
  <c r="Q22" i="36"/>
  <c r="Q60" i="34"/>
  <c r="S61" i="33"/>
  <c r="T61" i="33" s="1"/>
  <c r="S78" i="35"/>
  <c r="T78" i="35" s="1"/>
  <c r="Q165" i="33"/>
  <c r="Q91" i="36"/>
  <c r="Q192" i="33"/>
  <c r="S190" i="34"/>
  <c r="T190" i="34" s="1"/>
  <c r="S56" i="38"/>
  <c r="T56" i="38" s="1"/>
  <c r="S43" i="35"/>
  <c r="T43" i="35" s="1"/>
  <c r="Q60" i="36"/>
  <c r="Q30" i="34"/>
  <c r="Q25" i="39"/>
  <c r="Q47" i="34"/>
  <c r="Q117" i="33"/>
  <c r="S181" i="33"/>
  <c r="T181" i="33" s="1"/>
  <c r="Q172" i="36"/>
  <c r="Q80" i="33"/>
  <c r="Q75" i="35"/>
  <c r="Q152" i="34"/>
  <c r="Q29" i="36"/>
  <c r="S23" i="33"/>
  <c r="T23" i="33" s="1"/>
  <c r="S55" i="36"/>
  <c r="T55" i="36" s="1"/>
  <c r="Q35" i="37"/>
  <c r="S60" i="35"/>
  <c r="T60" i="35" s="1"/>
  <c r="S24" i="34"/>
  <c r="T24" i="34" s="1"/>
  <c r="S130" i="34"/>
  <c r="T130" i="34" s="1"/>
  <c r="S84" i="36"/>
  <c r="T84" i="36" s="1"/>
  <c r="S85" i="33"/>
  <c r="T85" i="33" s="1"/>
  <c r="Q153" i="36"/>
  <c r="Q208" i="36"/>
  <c r="Q168" i="34"/>
  <c r="Q113" i="26"/>
  <c r="S129" i="26"/>
  <c r="T129" i="26" s="1"/>
  <c r="Q129" i="26"/>
  <c r="Q209" i="26"/>
  <c r="Q82" i="26"/>
  <c r="Q161" i="26"/>
  <c r="S193" i="26"/>
  <c r="T193" i="26" s="1"/>
  <c r="Q193" i="26"/>
  <c r="Q176" i="26"/>
  <c r="S176" i="26"/>
  <c r="T176" i="26" s="1"/>
  <c r="S83" i="26"/>
  <c r="T83" i="26" s="1"/>
  <c r="Q57" i="26"/>
  <c r="Q48" i="26"/>
  <c r="Q81" i="26"/>
  <c r="S74" i="26"/>
  <c r="T74" i="26" s="1"/>
  <c r="Q23" i="26"/>
  <c r="S81" i="26"/>
  <c r="T81" i="26" s="1"/>
  <c r="A77" i="26"/>
  <c r="Q83" i="26"/>
  <c r="Q74" i="26"/>
  <c r="S78" i="26"/>
  <c r="T78" i="26" s="1"/>
  <c r="Q28" i="26"/>
  <c r="Q50" i="26"/>
  <c r="Q61" i="26"/>
  <c r="Q62" i="26"/>
  <c r="S54" i="26"/>
  <c r="T54" i="26" s="1"/>
  <c r="Q180" i="26"/>
  <c r="Q22" i="26"/>
  <c r="Q47" i="26"/>
  <c r="Q78" i="26"/>
  <c r="Q73" i="26"/>
  <c r="Q138" i="26"/>
  <c r="Q40" i="26"/>
  <c r="Q26" i="26"/>
  <c r="Q25" i="26"/>
  <c r="S24" i="26"/>
  <c r="T24" i="26" s="1"/>
  <c r="S40" i="26"/>
  <c r="T40" i="26" s="1"/>
  <c r="Q60" i="26"/>
  <c r="Q30" i="26"/>
  <c r="Q54" i="26"/>
  <c r="S51" i="26"/>
  <c r="T51" i="26" s="1"/>
  <c r="Q41" i="26"/>
  <c r="Q43" i="26"/>
  <c r="S72" i="26"/>
  <c r="T72" i="26" s="1"/>
  <c r="S42" i="26"/>
  <c r="T42" i="26" s="1"/>
  <c r="S29" i="26"/>
  <c r="T29" i="26" s="1"/>
  <c r="Q51" i="26"/>
  <c r="S39" i="26"/>
  <c r="T39" i="26" s="1"/>
  <c r="Q24" i="26"/>
  <c r="S60" i="26"/>
  <c r="T60" i="26" s="1"/>
  <c r="Q56" i="26"/>
  <c r="S22" i="26"/>
  <c r="T22" i="26" s="1"/>
  <c r="S23" i="26"/>
  <c r="T23" i="26" s="1"/>
  <c r="S30" i="26"/>
  <c r="T30" i="26" s="1"/>
  <c r="S50" i="26"/>
  <c r="T50" i="26" s="1"/>
  <c r="S192" i="26"/>
  <c r="T192" i="26" s="1"/>
  <c r="S49" i="26"/>
  <c r="T49" i="26" s="1"/>
  <c r="S25" i="26"/>
  <c r="T25" i="26" s="1"/>
  <c r="S61" i="26"/>
  <c r="T61" i="26" s="1"/>
  <c r="S28" i="26"/>
  <c r="T28" i="26" s="1"/>
  <c r="S47" i="26"/>
  <c r="T47" i="26" s="1"/>
  <c r="S41" i="26"/>
  <c r="T41" i="26" s="1"/>
  <c r="S26" i="26"/>
  <c r="T26" i="26" s="1"/>
  <c r="Q29" i="26"/>
  <c r="Q39" i="26"/>
  <c r="S56" i="26"/>
  <c r="T56" i="26" s="1"/>
  <c r="S43" i="26"/>
  <c r="T43" i="26" s="1"/>
  <c r="S57" i="26"/>
  <c r="T57" i="26" s="1"/>
  <c r="S48" i="26"/>
  <c r="T48" i="26" s="1"/>
  <c r="Q42" i="26"/>
  <c r="Q49" i="26"/>
  <c r="S62" i="26"/>
  <c r="T62" i="26" s="1"/>
  <c r="Q212" i="26"/>
  <c r="S196" i="26"/>
  <c r="T196" i="26" s="1"/>
  <c r="S180" i="26"/>
  <c r="T180" i="26" s="1"/>
  <c r="Q213" i="26"/>
  <c r="Q214" i="26"/>
  <c r="S214" i="26"/>
  <c r="T214" i="26" s="1"/>
  <c r="S213" i="26"/>
  <c r="T213" i="26" s="1"/>
  <c r="S198" i="26"/>
  <c r="T198" i="26" s="1"/>
  <c r="S197" i="26"/>
  <c r="T197" i="26" s="1"/>
  <c r="S148" i="26"/>
  <c r="T148" i="26" s="1"/>
  <c r="Q198" i="26"/>
  <c r="Q197" i="26"/>
  <c r="Q196" i="26"/>
  <c r="Q182" i="26"/>
  <c r="S181" i="26"/>
  <c r="T181" i="26" s="1"/>
  <c r="S182" i="26"/>
  <c r="T182" i="26" s="1"/>
  <c r="Q117" i="26"/>
  <c r="S150" i="26"/>
  <c r="T150" i="26" s="1"/>
  <c r="Q149" i="26"/>
  <c r="S164" i="26"/>
  <c r="T164" i="26" s="1"/>
  <c r="Q181" i="26"/>
  <c r="S166" i="26"/>
  <c r="T166" i="26" s="1"/>
  <c r="Q165" i="26"/>
  <c r="Q164" i="26"/>
  <c r="Q166" i="26"/>
  <c r="S165" i="26"/>
  <c r="T165" i="26" s="1"/>
  <c r="Q148" i="26"/>
  <c r="Q150" i="26"/>
  <c r="S149" i="26"/>
  <c r="T149" i="26" s="1"/>
  <c r="S134" i="26"/>
  <c r="T134" i="26" s="1"/>
  <c r="S133" i="26"/>
  <c r="T133" i="26" s="1"/>
  <c r="S132" i="26"/>
  <c r="T132" i="26" s="1"/>
  <c r="Q132" i="26"/>
  <c r="Q118" i="26"/>
  <c r="S116" i="26"/>
  <c r="T116" i="26" s="1"/>
  <c r="Q134" i="26"/>
  <c r="Q133" i="26"/>
  <c r="S118" i="26"/>
  <c r="T118" i="26" s="1"/>
  <c r="Q116" i="26"/>
  <c r="S117" i="26"/>
  <c r="T117" i="26" s="1"/>
  <c r="Q170" i="26"/>
  <c r="S202" i="26"/>
  <c r="T202" i="26" s="1"/>
  <c r="Q202" i="26"/>
  <c r="Q186" i="26"/>
  <c r="S186" i="26"/>
  <c r="T186" i="26" s="1"/>
  <c r="Q154" i="26"/>
  <c r="S138" i="26"/>
  <c r="T138" i="26" s="1"/>
  <c r="S154" i="26"/>
  <c r="T154" i="26" s="1"/>
  <c r="S122" i="26"/>
  <c r="T122" i="26" s="1"/>
  <c r="Q122" i="26"/>
  <c r="Q106" i="26"/>
  <c r="S106" i="26"/>
  <c r="T106" i="26" s="1"/>
  <c r="Q192" i="26"/>
  <c r="Q128" i="26"/>
  <c r="Q144" i="26"/>
  <c r="Q160" i="26"/>
  <c r="S208" i="26"/>
  <c r="T208" i="26" s="1"/>
  <c r="Q177" i="26"/>
  <c r="S112" i="26"/>
  <c r="T112" i="26" s="1"/>
  <c r="S125" i="26"/>
  <c r="T125" i="26" s="1"/>
  <c r="Q189" i="26"/>
  <c r="Q205" i="26"/>
  <c r="Q208" i="26"/>
  <c r="Q157" i="26"/>
  <c r="S205" i="26"/>
  <c r="T205" i="26" s="1"/>
  <c r="Q173" i="26"/>
  <c r="S157" i="26"/>
  <c r="T157" i="26" s="1"/>
  <c r="S189" i="26"/>
  <c r="T189" i="26" s="1"/>
  <c r="S177" i="26"/>
  <c r="T177" i="26" s="1"/>
  <c r="S173" i="26"/>
  <c r="T173" i="26" s="1"/>
  <c r="S160" i="26"/>
  <c r="T160" i="26" s="1"/>
  <c r="Q125" i="26"/>
  <c r="Q141" i="26"/>
  <c r="S144" i="26"/>
  <c r="T144" i="26" s="1"/>
  <c r="S141" i="26"/>
  <c r="T141" i="26" s="1"/>
  <c r="S128" i="26"/>
  <c r="T128" i="26" s="1"/>
  <c r="Q109" i="26"/>
  <c r="Q112" i="26"/>
  <c r="S109" i="26"/>
  <c r="T109" i="26" s="1"/>
  <c r="Q87" i="26"/>
  <c r="S87" i="26"/>
  <c r="T87" i="26" s="1"/>
  <c r="S77" i="26"/>
  <c r="T77" i="26" s="1"/>
  <c r="S21" i="26"/>
  <c r="T21" i="26" s="1"/>
  <c r="Q31" i="26"/>
  <c r="Q77" i="26"/>
  <c r="Q21" i="26"/>
  <c r="U18" i="36" l="1"/>
  <c r="U18" i="41"/>
  <c r="S18" i="41" s="1"/>
  <c r="U18" i="40"/>
  <c r="U18" i="35"/>
  <c r="U18" i="34"/>
  <c r="U18" i="33"/>
  <c r="U18" i="26"/>
  <c r="S18" i="26" s="1"/>
  <c r="R67" i="41"/>
  <c r="S18" i="40"/>
  <c r="R67" i="40"/>
  <c r="U18" i="42"/>
  <c r="S18" i="42" s="1"/>
  <c r="R67" i="42"/>
  <c r="S21" i="41"/>
  <c r="T21" i="41" s="1"/>
  <c r="S21" i="42"/>
  <c r="T21" i="42" s="1"/>
  <c r="Q21" i="42"/>
  <c r="E6" i="40"/>
  <c r="E5" i="40"/>
  <c r="P109" i="40"/>
  <c r="Q109" i="40" s="1"/>
  <c r="R109" i="40" s="1"/>
  <c r="P108" i="40"/>
  <c r="Q108" i="40" s="1"/>
  <c r="R108" i="40" s="1"/>
  <c r="P109" i="42"/>
  <c r="Q109" i="42" s="1"/>
  <c r="R109" i="42" s="1"/>
  <c r="E6" i="42"/>
  <c r="P108" i="42"/>
  <c r="Q108" i="42" s="1"/>
  <c r="R108" i="42" s="1"/>
  <c r="E5" i="42"/>
  <c r="S21" i="40"/>
  <c r="T21" i="40" s="1"/>
  <c r="P109" i="41"/>
  <c r="Q109" i="41" s="1"/>
  <c r="R109" i="41" s="1"/>
  <c r="E6" i="41"/>
  <c r="E5" i="41"/>
  <c r="P108" i="41"/>
  <c r="Q108" i="41" s="1"/>
  <c r="R108" i="41" s="1"/>
  <c r="A178" i="34"/>
  <c r="A179" i="34" s="1"/>
  <c r="A180" i="34" s="1"/>
  <c r="A182" i="34" s="1"/>
  <c r="A184" i="34" s="1"/>
  <c r="A187" i="34" s="1"/>
  <c r="A190" i="34" s="1"/>
  <c r="A191" i="34" s="1"/>
  <c r="A194" i="34" s="1"/>
  <c r="A195" i="34" s="1"/>
  <c r="A103" i="33"/>
  <c r="R67" i="37"/>
  <c r="U18" i="37"/>
  <c r="S18" i="37" s="1"/>
  <c r="K65" i="37" s="1"/>
  <c r="L65" i="37" s="1"/>
  <c r="N65" i="37" s="1"/>
  <c r="R67" i="35"/>
  <c r="R67" i="34"/>
  <c r="R67" i="36"/>
  <c r="S18" i="36"/>
  <c r="K65" i="36" s="1"/>
  <c r="L65" i="36" s="1"/>
  <c r="N65" i="36" s="1"/>
  <c r="S18" i="33"/>
  <c r="K65" i="33" s="1"/>
  <c r="L65" i="33" s="1"/>
  <c r="N65" i="33" s="1"/>
  <c r="S18" i="34"/>
  <c r="K36" i="34" s="1"/>
  <c r="L36" i="34" s="1"/>
  <c r="N36" i="34" s="1"/>
  <c r="R67" i="33"/>
  <c r="E5" i="37"/>
  <c r="P83" i="37"/>
  <c r="Q83" i="37" s="1"/>
  <c r="R83" i="37" s="1"/>
  <c r="P84" i="37"/>
  <c r="Q84" i="37" s="1"/>
  <c r="R84" i="37" s="1"/>
  <c r="E6" i="37"/>
  <c r="S21" i="37"/>
  <c r="T21" i="37" s="1"/>
  <c r="Q21" i="37"/>
  <c r="R67" i="39"/>
  <c r="U18" i="39"/>
  <c r="S18" i="39" s="1"/>
  <c r="S21" i="38"/>
  <c r="T21" i="38" s="1"/>
  <c r="P217" i="33"/>
  <c r="Q217" i="33" s="1"/>
  <c r="R217" i="33" s="1"/>
  <c r="E6" i="33"/>
  <c r="P216" i="33"/>
  <c r="Q216" i="33" s="1"/>
  <c r="R216" i="33" s="1"/>
  <c r="E5" i="33"/>
  <c r="S21" i="36"/>
  <c r="T21" i="36" s="1"/>
  <c r="R67" i="38"/>
  <c r="U18" i="38"/>
  <c r="S18" i="38" s="1"/>
  <c r="E6" i="38"/>
  <c r="P83" i="38"/>
  <c r="Q83" i="38" s="1"/>
  <c r="R83" i="38" s="1"/>
  <c r="E5" i="38"/>
  <c r="P82" i="38"/>
  <c r="Q82" i="38" s="1"/>
  <c r="R82" i="38" s="1"/>
  <c r="E6" i="36"/>
  <c r="P217" i="36"/>
  <c r="Q217" i="36" s="1"/>
  <c r="R217" i="36" s="1"/>
  <c r="E5" i="36"/>
  <c r="P216" i="36"/>
  <c r="Q216" i="36" s="1"/>
  <c r="R216" i="36" s="1"/>
  <c r="P199" i="34"/>
  <c r="Q199" i="34" s="1"/>
  <c r="R199" i="34" s="1"/>
  <c r="E5" i="34"/>
  <c r="E6" i="34"/>
  <c r="P198" i="34"/>
  <c r="Q198" i="34" s="1"/>
  <c r="R198" i="34" s="1"/>
  <c r="Q21" i="33"/>
  <c r="S21" i="33"/>
  <c r="T21" i="33" s="1"/>
  <c r="P84" i="39"/>
  <c r="Q84" i="39" s="1"/>
  <c r="R84" i="39" s="1"/>
  <c r="E6" i="39"/>
  <c r="E5" i="39"/>
  <c r="P85" i="39"/>
  <c r="Q85" i="39" s="1"/>
  <c r="R85" i="39" s="1"/>
  <c r="S21" i="35"/>
  <c r="T21" i="35" s="1"/>
  <c r="S21" i="39"/>
  <c r="T21" i="39" s="1"/>
  <c r="S21" i="34"/>
  <c r="T21" i="34" s="1"/>
  <c r="P109" i="35"/>
  <c r="Q109" i="35" s="1"/>
  <c r="R109" i="35" s="1"/>
  <c r="P108" i="35"/>
  <c r="Q108" i="35" s="1"/>
  <c r="R108" i="35" s="1"/>
  <c r="E6" i="35"/>
  <c r="E5" i="35"/>
  <c r="S18" i="35"/>
  <c r="Q21" i="39"/>
  <c r="Q21" i="35"/>
  <c r="A78" i="26"/>
  <c r="R67" i="26"/>
  <c r="K27" i="37" l="1"/>
  <c r="L27" i="37" s="1"/>
  <c r="N27" i="37" s="1"/>
  <c r="P111" i="42"/>
  <c r="P112" i="42" s="1"/>
  <c r="P111" i="41"/>
  <c r="K65" i="42"/>
  <c r="L65" i="42" s="1"/>
  <c r="N65" i="42" s="1"/>
  <c r="K36" i="42"/>
  <c r="L36" i="42" s="1"/>
  <c r="N36" i="42" s="1"/>
  <c r="K34" i="42"/>
  <c r="L34" i="42" s="1"/>
  <c r="N34" i="42" s="1"/>
  <c r="K44" i="42"/>
  <c r="L44" i="42" s="1"/>
  <c r="N44" i="42" s="1"/>
  <c r="K27" i="42"/>
  <c r="L27" i="42" s="1"/>
  <c r="K27" i="41"/>
  <c r="L27" i="41" s="1"/>
  <c r="K34" i="41"/>
  <c r="L34" i="41" s="1"/>
  <c r="N34" i="41" s="1"/>
  <c r="K65" i="41"/>
  <c r="L65" i="41" s="1"/>
  <c r="N65" i="41" s="1"/>
  <c r="K36" i="41"/>
  <c r="L36" i="41" s="1"/>
  <c r="N36" i="41" s="1"/>
  <c r="K44" i="41"/>
  <c r="L44" i="41" s="1"/>
  <c r="N44" i="41" s="1"/>
  <c r="K44" i="40"/>
  <c r="L44" i="40" s="1"/>
  <c r="N44" i="40" s="1"/>
  <c r="K36" i="40"/>
  <c r="L36" i="40" s="1"/>
  <c r="N36" i="40" s="1"/>
  <c r="K27" i="40"/>
  <c r="L27" i="40" s="1"/>
  <c r="K65" i="40"/>
  <c r="L65" i="40" s="1"/>
  <c r="N65" i="40" s="1"/>
  <c r="K34" i="40"/>
  <c r="L34" i="40" s="1"/>
  <c r="N34" i="40" s="1"/>
  <c r="P112" i="41"/>
  <c r="P111" i="40"/>
  <c r="P112" i="40" s="1"/>
  <c r="A105" i="33"/>
  <c r="A108" i="33" s="1"/>
  <c r="A111" i="33" s="1"/>
  <c r="A112" i="33" s="1"/>
  <c r="A115" i="33" s="1"/>
  <c r="A116" i="33" s="1"/>
  <c r="A117" i="33" s="1"/>
  <c r="A119" i="33" s="1"/>
  <c r="A121" i="33" s="1"/>
  <c r="A124" i="33" s="1"/>
  <c r="A127" i="33" s="1"/>
  <c r="A128" i="33" s="1"/>
  <c r="A131" i="33" s="1"/>
  <c r="A132" i="33" s="1"/>
  <c r="A133" i="33" s="1"/>
  <c r="A135" i="33" s="1"/>
  <c r="A137" i="33" s="1"/>
  <c r="A140" i="33" s="1"/>
  <c r="A143" i="33" s="1"/>
  <c r="A144" i="33" s="1"/>
  <c r="A147" i="33" s="1"/>
  <c r="A148" i="33" s="1"/>
  <c r="A149" i="33" s="1"/>
  <c r="A151" i="33" s="1"/>
  <c r="A153" i="33" s="1"/>
  <c r="A156" i="33" s="1"/>
  <c r="A159" i="33" s="1"/>
  <c r="A160" i="33" s="1"/>
  <c r="A163" i="33" s="1"/>
  <c r="A164" i="33" s="1"/>
  <c r="A165" i="33" s="1"/>
  <c r="A167" i="33" s="1"/>
  <c r="A169" i="33" s="1"/>
  <c r="A172" i="33" s="1"/>
  <c r="A175" i="33" s="1"/>
  <c r="K36" i="37"/>
  <c r="L36" i="37" s="1"/>
  <c r="N36" i="37" s="1"/>
  <c r="S36" i="37" s="1"/>
  <c r="T36" i="37" s="1"/>
  <c r="K44" i="37"/>
  <c r="L44" i="37" s="1"/>
  <c r="N44" i="37" s="1"/>
  <c r="S44" i="37" s="1"/>
  <c r="T44" i="37" s="1"/>
  <c r="K34" i="37"/>
  <c r="L34" i="37" s="1"/>
  <c r="N34" i="37" s="1"/>
  <c r="Q34" i="37" s="1"/>
  <c r="K27" i="33"/>
  <c r="L27" i="33" s="1"/>
  <c r="N27" i="33" s="1"/>
  <c r="K34" i="34"/>
  <c r="L34" i="34" s="1"/>
  <c r="N34" i="34" s="1"/>
  <c r="Q34" i="34" s="1"/>
  <c r="K34" i="36"/>
  <c r="L34" i="36" s="1"/>
  <c r="N34" i="36" s="1"/>
  <c r="S34" i="36" s="1"/>
  <c r="T34" i="36" s="1"/>
  <c r="K34" i="33"/>
  <c r="L34" i="33" s="1"/>
  <c r="N34" i="33" s="1"/>
  <c r="S34" i="33" s="1"/>
  <c r="T34" i="33" s="1"/>
  <c r="K44" i="36"/>
  <c r="L44" i="36" s="1"/>
  <c r="N44" i="36" s="1"/>
  <c r="Q44" i="36" s="1"/>
  <c r="K36" i="36"/>
  <c r="L36" i="36" s="1"/>
  <c r="N36" i="36" s="1"/>
  <c r="Q36" i="36" s="1"/>
  <c r="K27" i="36"/>
  <c r="L27" i="36" s="1"/>
  <c r="N27" i="36" s="1"/>
  <c r="K36" i="33"/>
  <c r="L36" i="33" s="1"/>
  <c r="N36" i="33" s="1"/>
  <c r="S36" i="33" s="1"/>
  <c r="T36" i="33" s="1"/>
  <c r="K44" i="33"/>
  <c r="L44" i="33" s="1"/>
  <c r="N44" i="33" s="1"/>
  <c r="S44" i="33" s="1"/>
  <c r="T44" i="33" s="1"/>
  <c r="P219" i="36"/>
  <c r="P220" i="36" s="1"/>
  <c r="K44" i="34"/>
  <c r="L44" i="34" s="1"/>
  <c r="N44" i="34" s="1"/>
  <c r="S44" i="34" s="1"/>
  <c r="T44" i="34" s="1"/>
  <c r="K27" i="34"/>
  <c r="L27" i="34" s="1"/>
  <c r="N27" i="34" s="1"/>
  <c r="K65" i="34"/>
  <c r="L65" i="34" s="1"/>
  <c r="N65" i="34" s="1"/>
  <c r="S65" i="34" s="1"/>
  <c r="T65" i="34" s="1"/>
  <c r="P87" i="39"/>
  <c r="P88" i="39" s="1"/>
  <c r="P201" i="34"/>
  <c r="P202" i="34" s="1"/>
  <c r="P111" i="35"/>
  <c r="P112" i="35" s="1"/>
  <c r="P85" i="38"/>
  <c r="P86" i="38" s="1"/>
  <c r="K65" i="35"/>
  <c r="L65" i="35" s="1"/>
  <c r="N65" i="35" s="1"/>
  <c r="K34" i="35"/>
  <c r="L34" i="35" s="1"/>
  <c r="N34" i="35" s="1"/>
  <c r="K44" i="35"/>
  <c r="L44" i="35" s="1"/>
  <c r="N44" i="35" s="1"/>
  <c r="K36" i="35"/>
  <c r="L36" i="35" s="1"/>
  <c r="N36" i="35" s="1"/>
  <c r="K27" i="35"/>
  <c r="L27" i="35" s="1"/>
  <c r="Q65" i="36"/>
  <c r="S65" i="36"/>
  <c r="T65" i="36" s="1"/>
  <c r="P219" i="33"/>
  <c r="P220" i="33" s="1"/>
  <c r="P86" i="37"/>
  <c r="P87" i="37" s="1"/>
  <c r="L34" i="39"/>
  <c r="N34" i="39" s="1"/>
  <c r="L65" i="39"/>
  <c r="N65" i="39" s="1"/>
  <c r="L36" i="39"/>
  <c r="N36" i="39" s="1"/>
  <c r="L44" i="39"/>
  <c r="N44" i="39" s="1"/>
  <c r="L27" i="39"/>
  <c r="S36" i="34"/>
  <c r="T36" i="34" s="1"/>
  <c r="Q36" i="34"/>
  <c r="Q65" i="33"/>
  <c r="S65" i="33"/>
  <c r="T65" i="33" s="1"/>
  <c r="S65" i="37"/>
  <c r="T65" i="37" s="1"/>
  <c r="Q65" i="37"/>
  <c r="K36" i="38"/>
  <c r="L36" i="38" s="1"/>
  <c r="N36" i="38" s="1"/>
  <c r="K65" i="38"/>
  <c r="L65" i="38" s="1"/>
  <c r="N65" i="38" s="1"/>
  <c r="K27" i="38"/>
  <c r="L27" i="38" s="1"/>
  <c r="K44" i="38"/>
  <c r="L44" i="38" s="1"/>
  <c r="N44" i="38" s="1"/>
  <c r="K34" i="38"/>
  <c r="L34" i="38" s="1"/>
  <c r="N34" i="38" s="1"/>
  <c r="A81" i="26"/>
  <c r="K65" i="26"/>
  <c r="K27" i="26"/>
  <c r="K34" i="26"/>
  <c r="K36" i="26"/>
  <c r="K44" i="26"/>
  <c r="S65" i="40" l="1"/>
  <c r="T65" i="40" s="1"/>
  <c r="Q65" i="40"/>
  <c r="N27" i="41"/>
  <c r="L107" i="41"/>
  <c r="S36" i="40"/>
  <c r="T36" i="40" s="1"/>
  <c r="Q36" i="40"/>
  <c r="S44" i="40"/>
  <c r="T44" i="40" s="1"/>
  <c r="Q44" i="40"/>
  <c r="N27" i="42"/>
  <c r="L107" i="42"/>
  <c r="S44" i="41"/>
  <c r="T44" i="41" s="1"/>
  <c r="Q44" i="41"/>
  <c r="S44" i="42"/>
  <c r="T44" i="42" s="1"/>
  <c r="Q44" i="42"/>
  <c r="N27" i="40"/>
  <c r="L107" i="40"/>
  <c r="Q36" i="37"/>
  <c r="S36" i="41"/>
  <c r="T36" i="41" s="1"/>
  <c r="Q36" i="41"/>
  <c r="S34" i="42"/>
  <c r="T34" i="42" s="1"/>
  <c r="Q34" i="42"/>
  <c r="S65" i="41"/>
  <c r="T65" i="41" s="1"/>
  <c r="Q65" i="41"/>
  <c r="S36" i="42"/>
  <c r="T36" i="42" s="1"/>
  <c r="Q36" i="42"/>
  <c r="S34" i="40"/>
  <c r="T34" i="40" s="1"/>
  <c r="Q34" i="40"/>
  <c r="S34" i="41"/>
  <c r="T34" i="41" s="1"/>
  <c r="Q34" i="41"/>
  <c r="S65" i="42"/>
  <c r="T65" i="42" s="1"/>
  <c r="Q65" i="42"/>
  <c r="A176" i="33"/>
  <c r="A179" i="33" s="1"/>
  <c r="A180" i="33" s="1"/>
  <c r="A181" i="33" s="1"/>
  <c r="Q44" i="37"/>
  <c r="S34" i="37"/>
  <c r="T34" i="37" s="1"/>
  <c r="L82" i="37"/>
  <c r="Q44" i="33"/>
  <c r="Q36" i="33"/>
  <c r="Q34" i="33"/>
  <c r="S34" i="34"/>
  <c r="T34" i="34" s="1"/>
  <c r="S44" i="36"/>
  <c r="T44" i="36" s="1"/>
  <c r="S36" i="36"/>
  <c r="T36" i="36" s="1"/>
  <c r="L215" i="33"/>
  <c r="Q34" i="36"/>
  <c r="Q65" i="34"/>
  <c r="L215" i="36"/>
  <c r="L197" i="34"/>
  <c r="Q44" i="34"/>
  <c r="S34" i="39"/>
  <c r="T34" i="39" s="1"/>
  <c r="Q34" i="39"/>
  <c r="S27" i="37"/>
  <c r="T27" i="37" s="1"/>
  <c r="Q27" i="37"/>
  <c r="N82" i="37"/>
  <c r="Q44" i="35"/>
  <c r="S44" i="35"/>
  <c r="T44" i="35" s="1"/>
  <c r="S34" i="35"/>
  <c r="T34" i="35" s="1"/>
  <c r="Q34" i="35"/>
  <c r="Q65" i="35"/>
  <c r="S65" i="35"/>
  <c r="T65" i="35" s="1"/>
  <c r="S27" i="33"/>
  <c r="T27" i="33" s="1"/>
  <c r="T215" i="33" s="1"/>
  <c r="T220" i="33" s="1"/>
  <c r="Q27" i="33"/>
  <c r="N215" i="33"/>
  <c r="S34" i="38"/>
  <c r="T34" i="38" s="1"/>
  <c r="Q34" i="38"/>
  <c r="Q44" i="38"/>
  <c r="S44" i="38"/>
  <c r="T44" i="38" s="1"/>
  <c r="N27" i="38"/>
  <c r="L81" i="38"/>
  <c r="N27" i="39"/>
  <c r="L83" i="39"/>
  <c r="S27" i="36"/>
  <c r="T27" i="36" s="1"/>
  <c r="Q27" i="36"/>
  <c r="Q215" i="36" s="1"/>
  <c r="N215" i="36"/>
  <c r="Q65" i="38"/>
  <c r="S65" i="38"/>
  <c r="T65" i="38" s="1"/>
  <c r="S44" i="39"/>
  <c r="T44" i="39" s="1"/>
  <c r="Q44" i="39"/>
  <c r="S36" i="38"/>
  <c r="T36" i="38" s="1"/>
  <c r="Q36" i="38"/>
  <c r="S36" i="39"/>
  <c r="T36" i="39" s="1"/>
  <c r="Q36" i="39"/>
  <c r="N27" i="35"/>
  <c r="L107" i="35"/>
  <c r="S27" i="34"/>
  <c r="T27" i="34" s="1"/>
  <c r="Q27" i="34"/>
  <c r="N197" i="34"/>
  <c r="S65" i="39"/>
  <c r="T65" i="39" s="1"/>
  <c r="Q65" i="39"/>
  <c r="S36" i="35"/>
  <c r="T36" i="35" s="1"/>
  <c r="Q36" i="35"/>
  <c r="A83" i="26"/>
  <c r="A82" i="26"/>
  <c r="Q197" i="34" l="1"/>
  <c r="Q215" i="33"/>
  <c r="S27" i="40"/>
  <c r="T27" i="40" s="1"/>
  <c r="T107" i="40" s="1"/>
  <c r="T112" i="40" s="1"/>
  <c r="Q27" i="40"/>
  <c r="Q107" i="40" s="1"/>
  <c r="N107" i="40"/>
  <c r="S27" i="41"/>
  <c r="T27" i="41" s="1"/>
  <c r="T107" i="41" s="1"/>
  <c r="T112" i="41" s="1"/>
  <c r="Q27" i="41"/>
  <c r="Q107" i="41" s="1"/>
  <c r="N107" i="41"/>
  <c r="S27" i="42"/>
  <c r="T27" i="42" s="1"/>
  <c r="T107" i="42" s="1"/>
  <c r="T112" i="42" s="1"/>
  <c r="Q27" i="42"/>
  <c r="Q107" i="42" s="1"/>
  <c r="N107" i="42"/>
  <c r="A183" i="33"/>
  <c r="A185" i="33" s="1"/>
  <c r="A188" i="33" s="1"/>
  <c r="A191" i="33" s="1"/>
  <c r="A199" i="33"/>
  <c r="T82" i="37"/>
  <c r="T87" i="37" s="1"/>
  <c r="T197" i="34"/>
  <c r="T202" i="34" s="1"/>
  <c r="T215" i="36"/>
  <c r="T220" i="36" s="1"/>
  <c r="N218" i="36"/>
  <c r="Q218" i="36" s="1"/>
  <c r="R218" i="36" s="1"/>
  <c r="E7" i="36"/>
  <c r="R18" i="36"/>
  <c r="R215" i="36" s="1"/>
  <c r="E7" i="34"/>
  <c r="N200" i="34"/>
  <c r="Q200" i="34" s="1"/>
  <c r="R200" i="34" s="1"/>
  <c r="N218" i="33"/>
  <c r="Q218" i="33" s="1"/>
  <c r="R218" i="33" s="1"/>
  <c r="E7" i="33"/>
  <c r="R18" i="34"/>
  <c r="R197" i="34" s="1"/>
  <c r="S27" i="39"/>
  <c r="T27" i="39" s="1"/>
  <c r="T83" i="39" s="1"/>
  <c r="T88" i="39" s="1"/>
  <c r="Q27" i="39"/>
  <c r="N83" i="39"/>
  <c r="R18" i="33"/>
  <c r="R215" i="33" s="1"/>
  <c r="N85" i="37"/>
  <c r="Q85" i="37" s="1"/>
  <c r="R85" i="37" s="1"/>
  <c r="E7" i="37"/>
  <c r="Q82" i="37"/>
  <c r="R18" i="37"/>
  <c r="R82" i="37" s="1"/>
  <c r="S27" i="38"/>
  <c r="T27" i="38" s="1"/>
  <c r="T81" i="38" s="1"/>
  <c r="T86" i="38" s="1"/>
  <c r="Q27" i="38"/>
  <c r="N81" i="38"/>
  <c r="S27" i="35"/>
  <c r="T27" i="35" s="1"/>
  <c r="T107" i="35" s="1"/>
  <c r="T112" i="35" s="1"/>
  <c r="Q27" i="35"/>
  <c r="Q107" i="35" s="1"/>
  <c r="N107" i="35"/>
  <c r="P216" i="26"/>
  <c r="R18" i="42" l="1"/>
  <c r="R107" i="42" s="1"/>
  <c r="N110" i="41"/>
  <c r="Q110" i="41" s="1"/>
  <c r="R110" i="41" s="1"/>
  <c r="E7" i="41"/>
  <c r="E7" i="42"/>
  <c r="N110" i="42"/>
  <c r="Q110" i="42" s="1"/>
  <c r="R110" i="42" s="1"/>
  <c r="N111" i="42"/>
  <c r="Q111" i="42" s="1"/>
  <c r="R111" i="42" s="1"/>
  <c r="R18" i="41"/>
  <c r="R107" i="41" s="1"/>
  <c r="E7" i="40"/>
  <c r="N110" i="40"/>
  <c r="Q110" i="40" s="1"/>
  <c r="R110" i="40" s="1"/>
  <c r="R18" i="40"/>
  <c r="R107" i="40" s="1"/>
  <c r="A192" i="33"/>
  <c r="A195" i="33" s="1"/>
  <c r="A196" i="33" s="1"/>
  <c r="A197" i="33" s="1"/>
  <c r="A201" i="33" s="1"/>
  <c r="A204" i="33" s="1"/>
  <c r="A207" i="33" s="1"/>
  <c r="A208" i="33" s="1"/>
  <c r="A211" i="33" s="1"/>
  <c r="A212" i="33" s="1"/>
  <c r="A213" i="33" s="1"/>
  <c r="N86" i="37"/>
  <c r="Q86" i="37" s="1"/>
  <c r="R86" i="37" s="1"/>
  <c r="R87" i="37" s="1"/>
  <c r="N219" i="36"/>
  <c r="N201" i="34"/>
  <c r="E4" i="33"/>
  <c r="E8" i="33" s="1"/>
  <c r="E9" i="33" s="1"/>
  <c r="D11" i="12" s="1"/>
  <c r="E4" i="37"/>
  <c r="E8" i="37" s="1"/>
  <c r="E9" i="37" s="1"/>
  <c r="R18" i="35"/>
  <c r="R107" i="35" s="1"/>
  <c r="E7" i="38"/>
  <c r="N84" i="38"/>
  <c r="Q84" i="38" s="1"/>
  <c r="R84" i="38" s="1"/>
  <c r="R18" i="39"/>
  <c r="R83" i="39" s="1"/>
  <c r="Q83" i="39"/>
  <c r="E4" i="34"/>
  <c r="E8" i="34" s="1"/>
  <c r="E9" i="34" s="1"/>
  <c r="D12" i="12" s="1"/>
  <c r="Q81" i="38"/>
  <c r="R18" i="38"/>
  <c r="R81" i="38" s="1"/>
  <c r="N219" i="33"/>
  <c r="Q219" i="33" s="1"/>
  <c r="R219" i="33" s="1"/>
  <c r="R220" i="33" s="1"/>
  <c r="E4" i="36"/>
  <c r="E8" i="36" s="1"/>
  <c r="E9" i="36" s="1"/>
  <c r="D17" i="12" s="1"/>
  <c r="N86" i="39"/>
  <c r="Q86" i="39" s="1"/>
  <c r="R86" i="39" s="1"/>
  <c r="E7" i="39"/>
  <c r="E7" i="35"/>
  <c r="N110" i="35"/>
  <c r="Q110" i="35" s="1"/>
  <c r="R110" i="35" s="1"/>
  <c r="A87" i="26"/>
  <c r="A86" i="26"/>
  <c r="E5" i="26"/>
  <c r="E6" i="26"/>
  <c r="P217" i="26"/>
  <c r="Q217" i="26" s="1"/>
  <c r="R217" i="26" s="1"/>
  <c r="P218" i="26"/>
  <c r="Q218" i="26" s="1"/>
  <c r="R218" i="26" s="1"/>
  <c r="R112" i="42" l="1"/>
  <c r="N111" i="40"/>
  <c r="Q111" i="40" s="1"/>
  <c r="R111" i="40" s="1"/>
  <c r="R112" i="40" s="1"/>
  <c r="E4" i="40"/>
  <c r="E8" i="40" s="1"/>
  <c r="E9" i="40" s="1"/>
  <c r="D14" i="12" s="1"/>
  <c r="N111" i="41"/>
  <c r="Q111" i="41" s="1"/>
  <c r="R111" i="41" s="1"/>
  <c r="R112" i="41" s="1"/>
  <c r="E4" i="41"/>
  <c r="N112" i="42"/>
  <c r="E4" i="42"/>
  <c r="E8" i="42" s="1"/>
  <c r="E9" i="42" s="1"/>
  <c r="D16" i="12" s="1"/>
  <c r="Q112" i="42"/>
  <c r="N87" i="37"/>
  <c r="A90" i="26"/>
  <c r="A91" i="26" s="1"/>
  <c r="A92" i="26" s="1"/>
  <c r="A95" i="26" s="1"/>
  <c r="Q87" i="37"/>
  <c r="N220" i="33"/>
  <c r="N85" i="38"/>
  <c r="Q85" i="38" s="1"/>
  <c r="R85" i="38" s="1"/>
  <c r="R86" i="38" s="1"/>
  <c r="N111" i="35"/>
  <c r="Q111" i="35" s="1"/>
  <c r="R111" i="35" s="1"/>
  <c r="R112" i="35" s="1"/>
  <c r="Q201" i="34"/>
  <c r="N202" i="34"/>
  <c r="Q219" i="36"/>
  <c r="N220" i="36"/>
  <c r="Q220" i="33"/>
  <c r="E4" i="38"/>
  <c r="E8" i="38" s="1"/>
  <c r="E9" i="38" s="1"/>
  <c r="N87" i="39"/>
  <c r="Q87" i="39" s="1"/>
  <c r="R87" i="39" s="1"/>
  <c r="R88" i="39" s="1"/>
  <c r="E4" i="39"/>
  <c r="E4" i="35"/>
  <c r="E8" i="35" s="1"/>
  <c r="E9" i="35" s="1"/>
  <c r="D13" i="12" s="1"/>
  <c r="P220" i="26"/>
  <c r="N112" i="41" l="1"/>
  <c r="Q112" i="40"/>
  <c r="N112" i="40"/>
  <c r="Q112" i="41"/>
  <c r="E8" i="41"/>
  <c r="E9" i="41" s="1"/>
  <c r="D15" i="12" s="1"/>
  <c r="N112" i="35"/>
  <c r="A96" i="26"/>
  <c r="A100" i="26" s="1"/>
  <c r="N86" i="38"/>
  <c r="Q86" i="38"/>
  <c r="Q112" i="35"/>
  <c r="Q88" i="39"/>
  <c r="R219" i="36"/>
  <c r="R220" i="36" s="1"/>
  <c r="Q220" i="36"/>
  <c r="R201" i="34"/>
  <c r="R202" i="34" s="1"/>
  <c r="Q202" i="34"/>
  <c r="N88" i="39"/>
  <c r="E8" i="39"/>
  <c r="E9" i="39" s="1"/>
  <c r="D20" i="12" s="1"/>
  <c r="P221" i="26"/>
  <c r="A97" i="26" l="1"/>
  <c r="A98" i="26"/>
  <c r="L36" i="26"/>
  <c r="N36" i="26" s="1"/>
  <c r="S36" i="26" s="1"/>
  <c r="T36" i="26" s="1"/>
  <c r="L44" i="26"/>
  <c r="N44" i="26" s="1"/>
  <c r="S44" i="26" s="1"/>
  <c r="T44" i="26" s="1"/>
  <c r="L35" i="26"/>
  <c r="N35" i="26" s="1"/>
  <c r="S35" i="26" s="1"/>
  <c r="T35" i="26" s="1"/>
  <c r="L27" i="26"/>
  <c r="L34" i="26"/>
  <c r="N34" i="26" s="1"/>
  <c r="S34" i="26" s="1"/>
  <c r="T34" i="26" s="1"/>
  <c r="L55" i="26"/>
  <c r="N55" i="26" s="1"/>
  <c r="S55" i="26" s="1"/>
  <c r="T55" i="26" s="1"/>
  <c r="L65" i="26"/>
  <c r="N65" i="26" s="1"/>
  <c r="S65" i="26" s="1"/>
  <c r="T65" i="26" s="1"/>
  <c r="A99" i="26" l="1"/>
  <c r="A101" i="26"/>
  <c r="A104" i="26" s="1"/>
  <c r="A106" i="26" s="1"/>
  <c r="A109" i="26" s="1"/>
  <c r="A112" i="26" s="1"/>
  <c r="N27" i="26"/>
  <c r="L216" i="26"/>
  <c r="Q65" i="26"/>
  <c r="Q44" i="26"/>
  <c r="Q35" i="26"/>
  <c r="Q55" i="26"/>
  <c r="Q34" i="26"/>
  <c r="Q36" i="26"/>
  <c r="A113" i="26" l="1"/>
  <c r="A116" i="26" s="1"/>
  <c r="S27" i="26"/>
  <c r="T27" i="26" s="1"/>
  <c r="N216" i="26"/>
  <c r="E7" i="26" s="1"/>
  <c r="Q27" i="26"/>
  <c r="Q216" i="26" s="1"/>
  <c r="A117" i="26" l="1"/>
  <c r="A118" i="26" s="1"/>
  <c r="A120" i="26" s="1"/>
  <c r="A122" i="26" s="1"/>
  <c r="A125" i="26" s="1"/>
  <c r="A128" i="26" s="1"/>
  <c r="E4" i="26"/>
  <c r="R18" i="26"/>
  <c r="R216" i="26" s="1"/>
  <c r="N219" i="26"/>
  <c r="T216" i="26"/>
  <c r="T221" i="26" s="1"/>
  <c r="A129" i="26" l="1"/>
  <c r="A132" i="26" s="1"/>
  <c r="E8" i="26"/>
  <c r="E9" i="26" s="1"/>
  <c r="C5" i="31"/>
  <c r="C9" i="31"/>
  <c r="C6" i="31"/>
  <c r="Q219" i="26"/>
  <c r="R219" i="26" s="1"/>
  <c r="N220" i="26"/>
  <c r="Q220" i="26" s="1"/>
  <c r="A133" i="26" l="1"/>
  <c r="A134" i="26" s="1"/>
  <c r="A136" i="26" s="1"/>
  <c r="A138" i="26" s="1"/>
  <c r="A141" i="26" s="1"/>
  <c r="A144" i="26" s="1"/>
  <c r="C7" i="31"/>
  <c r="F7" i="31" s="1"/>
  <c r="C8" i="31"/>
  <c r="F8" i="31" s="1"/>
  <c r="Q221" i="26"/>
  <c r="F9" i="31"/>
  <c r="R220" i="26"/>
  <c r="R221" i="26" s="1"/>
  <c r="N221" i="26"/>
  <c r="A145" i="26" l="1"/>
  <c r="A148" i="26" s="1"/>
  <c r="C10" i="31"/>
  <c r="C11" i="31" s="1"/>
  <c r="D10" i="12"/>
  <c r="L6" i="12" s="1"/>
  <c r="A149" i="26" l="1"/>
  <c r="A150" i="26" s="1"/>
  <c r="A152" i="26" s="1"/>
  <c r="A154" i="26" s="1"/>
  <c r="A157" i="26" s="1"/>
  <c r="A160" i="26" s="1"/>
  <c r="F10" i="31"/>
  <c r="D7" i="31"/>
  <c r="D8" i="31"/>
  <c r="D5" i="31"/>
  <c r="D6" i="31"/>
  <c r="D9" i="31"/>
  <c r="D10" i="31"/>
  <c r="A161" i="26" l="1"/>
  <c r="A164" i="26" s="1"/>
  <c r="A165" i="26" s="1"/>
  <c r="A166" i="26" s="1"/>
  <c r="A168" i="26" s="1"/>
  <c r="A170" i="26" s="1"/>
  <c r="A173" i="26" s="1"/>
  <c r="A177" i="26" l="1"/>
  <c r="A176" i="26"/>
  <c r="A180" i="26" l="1"/>
  <c r="A181" i="26" s="1"/>
  <c r="A182" i="26" s="1"/>
  <c r="A184" i="26" s="1"/>
  <c r="A186" i="26" s="1"/>
  <c r="A189" i="26" s="1"/>
  <c r="A192" i="26" s="1"/>
  <c r="A193" i="26" l="1"/>
  <c r="A196" i="26" s="1"/>
  <c r="A197" i="26" s="1"/>
  <c r="A198" i="26" s="1"/>
  <c r="A200" i="26" s="1"/>
  <c r="A202" i="26" s="1"/>
  <c r="A205" i="26" s="1"/>
  <c r="A208" i="26" s="1"/>
  <c r="A209" i="26" l="1"/>
  <c r="A212" i="26" s="1"/>
  <c r="A213" i="26" s="1"/>
  <c r="A214" i="26" s="1"/>
</calcChain>
</file>

<file path=xl/sharedStrings.xml><?xml version="1.0" encoding="utf-8"?>
<sst xmlns="http://schemas.openxmlformats.org/spreadsheetml/2006/main" count="5728" uniqueCount="836">
  <si>
    <t>Project Dashboard</t>
  </si>
  <si>
    <t xml:space="preserve">      </t>
  </si>
  <si>
    <t xml:space="preserve">            Contentration of Sub-Contractor Cost</t>
  </si>
  <si>
    <t>Pie Chart:</t>
  </si>
  <si>
    <t>Type</t>
  </si>
  <si>
    <t>Amount</t>
  </si>
  <si>
    <t>Material</t>
  </si>
  <si>
    <t>Labor</t>
  </si>
  <si>
    <t>Percentage</t>
  </si>
  <si>
    <t>Material Tax</t>
  </si>
  <si>
    <t>Overhead &amp; Profit (Material)</t>
  </si>
  <si>
    <t>Overhead &amp; Profit (Labor)</t>
  </si>
  <si>
    <t>Bond Fee</t>
  </si>
  <si>
    <t>OH &amp; P on subnotes</t>
  </si>
  <si>
    <t>COST SUMMARY</t>
  </si>
  <si>
    <t>Date:</t>
  </si>
  <si>
    <t xml:space="preserve">Project Type: </t>
  </si>
  <si>
    <t>Project:</t>
  </si>
  <si>
    <t>Scope of Work:</t>
  </si>
  <si>
    <t>Project Location:</t>
  </si>
  <si>
    <t>Total Base Bid:</t>
  </si>
  <si>
    <t>BASE BID
/ALTERNATES/ALLOWANCES</t>
  </si>
  <si>
    <t>TOTAL
COSTS</t>
  </si>
  <si>
    <t>Please enter the sub-quotes in column R (Highlighted orange) against each division/trade and update the Overhead &amp; Profit % as required below; column K will be updated automatically with Subquotes with OH&amp;P. If there is no value entered in column R, the cost from column J (by DE) will be picked.</t>
  </si>
  <si>
    <t>Hourly Rates Tab</t>
  </si>
  <si>
    <t>OH&amp;P on Subquotes</t>
  </si>
  <si>
    <t>DIV-01</t>
  </si>
  <si>
    <t>General Requirements</t>
  </si>
  <si>
    <t>DIV-02</t>
  </si>
  <si>
    <t>DIV-03</t>
  </si>
  <si>
    <t>DIV-04</t>
  </si>
  <si>
    <t>DIV-05</t>
  </si>
  <si>
    <t>DIV-06</t>
  </si>
  <si>
    <t>DIV-07</t>
  </si>
  <si>
    <t>DIV-08</t>
  </si>
  <si>
    <t>DIV-09</t>
  </si>
  <si>
    <t>Finishes</t>
  </si>
  <si>
    <t>DIV-10</t>
  </si>
  <si>
    <t>DIV-11</t>
  </si>
  <si>
    <t>Equipment</t>
  </si>
  <si>
    <t>DIV-12</t>
  </si>
  <si>
    <t>DIV-13</t>
  </si>
  <si>
    <t>Special Construction</t>
  </si>
  <si>
    <t>DIV-14</t>
  </si>
  <si>
    <t>DIV-21</t>
  </si>
  <si>
    <t>Fire Suppression</t>
  </si>
  <si>
    <t>DIV-22</t>
  </si>
  <si>
    <t>DIV-23</t>
  </si>
  <si>
    <t>DIV-26</t>
  </si>
  <si>
    <t>DIV-27</t>
  </si>
  <si>
    <t>DIV-31</t>
  </si>
  <si>
    <t>DIV-32</t>
  </si>
  <si>
    <t>DIV-33</t>
  </si>
  <si>
    <t>Utilities</t>
  </si>
  <si>
    <t>SUB TOTAL</t>
  </si>
  <si>
    <t>MATERIAL TAX</t>
  </si>
  <si>
    <t>TOTAL BASE BID</t>
  </si>
  <si>
    <t>Sub Contractor</t>
  </si>
  <si>
    <t>Accessories</t>
  </si>
  <si>
    <t>Acoustical and Metal Ceiling</t>
  </si>
  <si>
    <t>Appliances</t>
  </si>
  <si>
    <t>Asbestos Worker</t>
  </si>
  <si>
    <t>Awnings / Canopies</t>
  </si>
  <si>
    <t>Cabinetry</t>
  </si>
  <si>
    <t>Carpenter Millwork</t>
  </si>
  <si>
    <t>Ceiling - Others</t>
  </si>
  <si>
    <t>Cladding - Metal</t>
  </si>
  <si>
    <t>Cladding - Wood</t>
  </si>
  <si>
    <t>Cladding - Other</t>
  </si>
  <si>
    <t>Clean - Power Wash</t>
  </si>
  <si>
    <t>Clearing &amp; Grubbing</t>
  </si>
  <si>
    <t>Communication</t>
  </si>
  <si>
    <t>Concrete - Building</t>
  </si>
  <si>
    <t>Countertops</t>
  </si>
  <si>
    <t>Curtain Wall</t>
  </si>
  <si>
    <t>Demo - Building</t>
  </si>
  <si>
    <t>Demo - Site</t>
  </si>
  <si>
    <t>Dewatering</t>
  </si>
  <si>
    <t>Doors &amp; Hardware</t>
  </si>
  <si>
    <t>Dry Waller</t>
  </si>
  <si>
    <t>Earth worker</t>
  </si>
  <si>
    <t>Electrician</t>
  </si>
  <si>
    <t>Electronic Safety and Security (FA)</t>
  </si>
  <si>
    <t>Elevator</t>
  </si>
  <si>
    <t>Erosion Control</t>
  </si>
  <si>
    <t>Exterior  improvements</t>
  </si>
  <si>
    <t>Exterior Painter</t>
  </si>
  <si>
    <t>Exterior Signage</t>
  </si>
  <si>
    <t>Fencing and Gates - Metal</t>
  </si>
  <si>
    <t>Fencing and Gates - Wood</t>
  </si>
  <si>
    <t>Fencing and Gates - Other</t>
  </si>
  <si>
    <t>Finish Carpenter</t>
  </si>
  <si>
    <t>Fire Proofing</t>
  </si>
  <si>
    <t>Fireplace</t>
  </si>
  <si>
    <t>Flooring</t>
  </si>
  <si>
    <t>Folding/Moveable Partition</t>
  </si>
  <si>
    <t>Framer Cold Form</t>
  </si>
  <si>
    <t>Framer Light Gauge</t>
  </si>
  <si>
    <t>Framer Lumber</t>
  </si>
  <si>
    <t>Framer Rough Carpenter</t>
  </si>
  <si>
    <t>Furniture</t>
  </si>
  <si>
    <t>Glazier</t>
  </si>
  <si>
    <t>Hazardous Material Handler</t>
  </si>
  <si>
    <t>Insulation</t>
  </si>
  <si>
    <t>Interior Painter</t>
  </si>
  <si>
    <t>Interior Signage</t>
  </si>
  <si>
    <t>Irrigation</t>
  </si>
  <si>
    <t>Joint Sealants</t>
  </si>
  <si>
    <t>Landscaper</t>
  </si>
  <si>
    <t>Mailboxes</t>
  </si>
  <si>
    <t>Mason - Brick Veneer</t>
  </si>
  <si>
    <t>Mason - Cast Stone</t>
  </si>
  <si>
    <t>Mason - CMU</t>
  </si>
  <si>
    <t>Mechanical</t>
  </si>
  <si>
    <t>Millwork</t>
  </si>
  <si>
    <t>Ornamental Steel</t>
  </si>
  <si>
    <t>Paneling - Metal</t>
  </si>
  <si>
    <t>Paneling - Wood</t>
  </si>
  <si>
    <t>Paneling - Other</t>
  </si>
  <si>
    <t>Paving</t>
  </si>
  <si>
    <t>Pergolas</t>
  </si>
  <si>
    <t>Piling</t>
  </si>
  <si>
    <t>Playground Equipment</t>
  </si>
  <si>
    <t>Plumber</t>
  </si>
  <si>
    <t>Pool</t>
  </si>
  <si>
    <t>Precast Concrete</t>
  </si>
  <si>
    <t>Pre-Engineered Metal Building</t>
  </si>
  <si>
    <t>Roof Sheathing</t>
  </si>
  <si>
    <t>Roofer</t>
  </si>
  <si>
    <t>Sheathing</t>
  </si>
  <si>
    <t>Shoring/SOE</t>
  </si>
  <si>
    <t>Siding Contractor</t>
  </si>
  <si>
    <t>Site Concrete</t>
  </si>
  <si>
    <t>Site Electrical</t>
  </si>
  <si>
    <t>Site Furnishing</t>
  </si>
  <si>
    <t>Site Paint</t>
  </si>
  <si>
    <t>Site Signage</t>
  </si>
  <si>
    <t>Skylight</t>
  </si>
  <si>
    <t>Staircases and Railings - Metal</t>
  </si>
  <si>
    <t>Staircases and Railings - Wood</t>
  </si>
  <si>
    <t>Storefront</t>
  </si>
  <si>
    <t>Structural Steel</t>
  </si>
  <si>
    <t>Stucco - EIFS</t>
  </si>
  <si>
    <t>Tiler</t>
  </si>
  <si>
    <t xml:space="preserve">Toilet Partitions </t>
  </si>
  <si>
    <t>Traffic Control</t>
  </si>
  <si>
    <t>Trellis</t>
  </si>
  <si>
    <t>Truss</t>
  </si>
  <si>
    <t>Wall Covering</t>
  </si>
  <si>
    <t>Water Proofing &amp; Damp Proofing</t>
  </si>
  <si>
    <t>Window Installer</t>
  </si>
  <si>
    <t>Wire Shelving</t>
  </si>
  <si>
    <t>ITEM #</t>
  </si>
  <si>
    <t>REF. SHEET</t>
  </si>
  <si>
    <t>DETAIL</t>
  </si>
  <si>
    <t>CSI SECT</t>
  </si>
  <si>
    <t>DESCRIPTION</t>
  </si>
  <si>
    <t>QTY.</t>
  </si>
  <si>
    <t>WASTAGE</t>
  </si>
  <si>
    <t>QTY WITH
WASTAGE</t>
  </si>
  <si>
    <t>UNIT</t>
  </si>
  <si>
    <t>UNIT LABOR HOURS</t>
  </si>
  <si>
    <t>TOTAL LABOR HOURS</t>
  </si>
  <si>
    <t>PER HOUR LABOR RATE</t>
  </si>
  <si>
    <t>TOTAL LABOR COST</t>
  </si>
  <si>
    <t>UNIT MATERIAL COST</t>
  </si>
  <si>
    <t>TOTAL MATERIAL COST</t>
  </si>
  <si>
    <t>ITEM COST</t>
  </si>
  <si>
    <t>TRADE COST</t>
  </si>
  <si>
    <t>UNIT ITEM COST WITH MARKUPS</t>
  </si>
  <si>
    <t>TOTAL ITEM COST WITH MARKUPS</t>
  </si>
  <si>
    <t>Estimate of Materials Quantities and Cost of Construction</t>
  </si>
  <si>
    <t>CLICK HERE TO GO BACK TO COST SUMMARY</t>
  </si>
  <si>
    <t xml:space="preserve">Sub-Total    </t>
  </si>
  <si>
    <t>Material Sales Tax</t>
  </si>
  <si>
    <t>(Adjust the percentage for Material tax as required)</t>
  </si>
  <si>
    <r>
      <t xml:space="preserve">Overhead &amp; Profit / Inflation </t>
    </r>
    <r>
      <rPr>
        <b/>
        <sz val="13"/>
        <color rgb="FFFF0000"/>
        <rFont val="Calibri"/>
        <family val="2"/>
        <scheme val="minor"/>
      </rPr>
      <t>(Material)</t>
    </r>
  </si>
  <si>
    <t>(Adjust the percentage for Overhead &amp; Profit as required)</t>
  </si>
  <si>
    <r>
      <t xml:space="preserve">Overhead &amp; Profit </t>
    </r>
    <r>
      <rPr>
        <b/>
        <sz val="13"/>
        <color rgb="FFFF0000"/>
        <rFont val="Calibri"/>
        <family val="2"/>
        <scheme val="minor"/>
      </rPr>
      <t>(Labor)</t>
    </r>
  </si>
  <si>
    <t>Project and Wage Type:</t>
  </si>
  <si>
    <t>Private (Non-Prevailing wage)</t>
  </si>
  <si>
    <t>(Adjust the percentage for Bond Fee as required)</t>
  </si>
  <si>
    <t>Total Bid</t>
  </si>
  <si>
    <t>Gross Internal Area of Structure (SF)</t>
  </si>
  <si>
    <t>Covered Area of Structure (SF)</t>
  </si>
  <si>
    <t>Material Wastage 1</t>
  </si>
  <si>
    <t xml:space="preserve"> ( for Quantities in Each &amp; LS)</t>
  </si>
  <si>
    <t>No. of Units</t>
  </si>
  <si>
    <t>Material Wastage 2</t>
  </si>
  <si>
    <t xml:space="preserve"> ( for Quantities in LF, SF, SY, CY, LBS, TONS)</t>
  </si>
  <si>
    <t>No. of Floors and Overall Height</t>
  </si>
  <si>
    <t xml:space="preserve">                                  (Changing the wastage percentage here will update the wastage for whole tab)</t>
  </si>
  <si>
    <t>Hardscaping Area (SF)</t>
  </si>
  <si>
    <t>Soft scaping Area (SF)</t>
  </si>
  <si>
    <t>To change hourly rates for any trade please go to "Hourly Rates" Tab</t>
  </si>
  <si>
    <t>UNIT COST WITH MARKUPS</t>
  </si>
  <si>
    <t>TOTAL COST WITH MARKUPS</t>
  </si>
  <si>
    <t>General</t>
  </si>
  <si>
    <t>LS</t>
  </si>
  <si>
    <t>Surveying</t>
  </si>
  <si>
    <t>Concrete Testing</t>
  </si>
  <si>
    <t>Permit Fee</t>
  </si>
  <si>
    <t>Plan Coordination</t>
  </si>
  <si>
    <t>Roof Inspection</t>
  </si>
  <si>
    <t>Tool Rentals</t>
  </si>
  <si>
    <t>Tool Shed</t>
  </si>
  <si>
    <t>Dust Control</t>
  </si>
  <si>
    <t>Ice, Water, Beverages</t>
  </si>
  <si>
    <t>Garbage Dumpster / Trash Containers</t>
  </si>
  <si>
    <t>Mobilization/Demobilization (Temporary Control &amp; Facilities)</t>
  </si>
  <si>
    <t>Job Signs</t>
  </si>
  <si>
    <t>Job Photos</t>
  </si>
  <si>
    <t xml:space="preserve">Signage  </t>
  </si>
  <si>
    <t>Misc.</t>
  </si>
  <si>
    <t>Trash</t>
  </si>
  <si>
    <t>Final Cleaning</t>
  </si>
  <si>
    <t>Punch List Items</t>
  </si>
  <si>
    <t>Bonds, Insurance, Legal</t>
  </si>
  <si>
    <t>Casualty Insurance</t>
  </si>
  <si>
    <t>Medical Insurance</t>
  </si>
  <si>
    <t>General Liability Insurance</t>
  </si>
  <si>
    <t>Project Management &amp; Supervision</t>
  </si>
  <si>
    <t/>
  </si>
  <si>
    <t>Wall Paint</t>
  </si>
  <si>
    <t>SF</t>
  </si>
  <si>
    <t>EA</t>
  </si>
  <si>
    <t>LF</t>
  </si>
  <si>
    <t>Miscellaneous</t>
  </si>
  <si>
    <t>Total Lab. Hours =</t>
  </si>
  <si>
    <t>Total Lab. Cost =</t>
  </si>
  <si>
    <t>Total Mat. Cost =</t>
  </si>
  <si>
    <r>
      <t>OVERHEAD &amp; PROF</t>
    </r>
    <r>
      <rPr>
        <b/>
        <sz val="12"/>
        <rFont val="Calibri"/>
        <family val="2"/>
        <scheme val="minor"/>
      </rPr>
      <t>IT / INFLATION</t>
    </r>
    <r>
      <rPr>
        <b/>
        <sz val="12"/>
        <color rgb="FFFF0000"/>
        <rFont val="Calibri"/>
        <family val="2"/>
        <scheme val="minor"/>
      </rPr>
      <t xml:space="preserve"> (Material)</t>
    </r>
  </si>
  <si>
    <r>
      <t>OVERHEAD &amp; PROFIT</t>
    </r>
    <r>
      <rPr>
        <b/>
        <sz val="12"/>
        <color rgb="FFFF0000"/>
        <rFont val="Calibri"/>
        <family val="2"/>
        <scheme val="minor"/>
      </rPr>
      <t xml:space="preserve"> (Labor)</t>
    </r>
  </si>
  <si>
    <t>BOND FEE</t>
  </si>
  <si>
    <r>
      <rPr>
        <b/>
        <sz val="12"/>
        <color rgb="FFFF0000"/>
        <rFont val="Calibri"/>
        <family val="2"/>
        <scheme val="minor"/>
      </rPr>
      <t>Note:</t>
    </r>
    <r>
      <rPr>
        <b/>
        <sz val="12"/>
        <color theme="0" tint="-0.499984740745262"/>
        <rFont val="Calibri"/>
        <family val="2"/>
        <scheme val="minor"/>
      </rPr>
      <t xml:space="preserve"> Adjusting the per hour labor rate in the table below will automatically update the labor pricing for whole project. To bypass the per hour labor rate for a single item, please put the per hour labor rate against that item in column M of relative tab.</t>
    </r>
  </si>
  <si>
    <t>Please don’t edit anything below, without the approval of the Manager (Estimating Department)</t>
  </si>
  <si>
    <t>CSI Div.</t>
  </si>
  <si>
    <t>Sub-Contractor/Trade List</t>
  </si>
  <si>
    <t>Hourly Rates</t>
  </si>
  <si>
    <t>DIV-1</t>
  </si>
  <si>
    <t>Div-28</t>
  </si>
  <si>
    <t>DIV-34</t>
  </si>
  <si>
    <t>DIV-00</t>
  </si>
  <si>
    <t>Z</t>
  </si>
  <si>
    <t>Unit</t>
  </si>
  <si>
    <t>Wastage</t>
  </si>
  <si>
    <t>SY</t>
  </si>
  <si>
    <t>LBS</t>
  </si>
  <si>
    <t>TONS</t>
  </si>
  <si>
    <t>CY</t>
  </si>
  <si>
    <t>Categories</t>
  </si>
  <si>
    <t>Commercial</t>
  </si>
  <si>
    <t>Residential</t>
  </si>
  <si>
    <t>Code</t>
  </si>
  <si>
    <t>Default1</t>
  </si>
  <si>
    <t>Default2</t>
  </si>
  <si>
    <t>Default3</t>
  </si>
  <si>
    <t>Default4</t>
  </si>
  <si>
    <t>Default5</t>
  </si>
  <si>
    <t>Default6</t>
  </si>
  <si>
    <t>Default7</t>
  </si>
  <si>
    <t>Default8</t>
  </si>
  <si>
    <t>Default9</t>
  </si>
  <si>
    <t>Default10</t>
  </si>
  <si>
    <t>Default11</t>
  </si>
  <si>
    <t>Default12</t>
  </si>
  <si>
    <t>Default13</t>
  </si>
  <si>
    <t>Default14</t>
  </si>
  <si>
    <t>Default15</t>
  </si>
  <si>
    <t>Default16</t>
  </si>
  <si>
    <t>Default17</t>
  </si>
  <si>
    <t>Default18</t>
  </si>
  <si>
    <t>Default19</t>
  </si>
  <si>
    <t>Default20</t>
  </si>
  <si>
    <t>Default21</t>
  </si>
  <si>
    <t>Default22</t>
  </si>
  <si>
    <t>Default23</t>
  </si>
  <si>
    <t>Default24</t>
  </si>
  <si>
    <t>Default25</t>
  </si>
  <si>
    <t>Default26</t>
  </si>
  <si>
    <t>Default27</t>
  </si>
  <si>
    <t>Default28</t>
  </si>
  <si>
    <t>Default29</t>
  </si>
  <si>
    <t>Default30</t>
  </si>
  <si>
    <t>Default31</t>
  </si>
  <si>
    <t>Default32</t>
  </si>
  <si>
    <t>Default33</t>
  </si>
  <si>
    <t>Default34</t>
  </si>
  <si>
    <t>Default35</t>
  </si>
  <si>
    <t>Default36</t>
  </si>
  <si>
    <t>Default37</t>
  </si>
  <si>
    <t>Default38</t>
  </si>
  <si>
    <t>Default39</t>
  </si>
  <si>
    <t>Default40</t>
  </si>
  <si>
    <t>Default41</t>
  </si>
  <si>
    <t>Default42</t>
  </si>
  <si>
    <t>Default43</t>
  </si>
  <si>
    <t>Default44</t>
  </si>
  <si>
    <t>Default45</t>
  </si>
  <si>
    <t>Default46</t>
  </si>
  <si>
    <t>Default47</t>
  </si>
  <si>
    <t>Default48</t>
  </si>
  <si>
    <t>Default49</t>
  </si>
  <si>
    <t>Default50</t>
  </si>
  <si>
    <t>Default51</t>
  </si>
  <si>
    <t>Default52</t>
  </si>
  <si>
    <t>Default53</t>
  </si>
  <si>
    <t>Default54</t>
  </si>
  <si>
    <t>Default55</t>
  </si>
  <si>
    <t>Default56</t>
  </si>
  <si>
    <t>Default57</t>
  </si>
  <si>
    <t>Default58</t>
  </si>
  <si>
    <t>Default59</t>
  </si>
  <si>
    <t>Default60</t>
  </si>
  <si>
    <t>Default61</t>
  </si>
  <si>
    <t>Default62</t>
  </si>
  <si>
    <t>Default63</t>
  </si>
  <si>
    <t>Default64</t>
  </si>
  <si>
    <t>Default65</t>
  </si>
  <si>
    <t>Default66</t>
  </si>
  <si>
    <t>Default67</t>
  </si>
  <si>
    <t>Default68</t>
  </si>
  <si>
    <t>Default69</t>
  </si>
  <si>
    <t>Default70</t>
  </si>
  <si>
    <t>Default71</t>
  </si>
  <si>
    <t>Default72</t>
  </si>
  <si>
    <t>Default73</t>
  </si>
  <si>
    <t>Default74</t>
  </si>
  <si>
    <t>Default75</t>
  </si>
  <si>
    <t>Default76</t>
  </si>
  <si>
    <t>Default77</t>
  </si>
  <si>
    <t>Default78</t>
  </si>
  <si>
    <t>Default79</t>
  </si>
  <si>
    <t>Default80</t>
  </si>
  <si>
    <t>Default81</t>
  </si>
  <si>
    <t>Default82</t>
  </si>
  <si>
    <t>Default83</t>
  </si>
  <si>
    <t>Default84</t>
  </si>
  <si>
    <t>Default85</t>
  </si>
  <si>
    <t>Default86</t>
  </si>
  <si>
    <t>Default87</t>
  </si>
  <si>
    <t>Default88</t>
  </si>
  <si>
    <t>Default89</t>
  </si>
  <si>
    <t>Default90</t>
  </si>
  <si>
    <t>Default91</t>
  </si>
  <si>
    <t>Default92</t>
  </si>
  <si>
    <t>Default93</t>
  </si>
  <si>
    <t>Default94</t>
  </si>
  <si>
    <t>Default95</t>
  </si>
  <si>
    <t>Default96</t>
  </si>
  <si>
    <t>Default97</t>
  </si>
  <si>
    <t>Default98</t>
  </si>
  <si>
    <t>Default99</t>
  </si>
  <si>
    <t>Default100</t>
  </si>
  <si>
    <t>Default101</t>
  </si>
  <si>
    <t>Economy1</t>
  </si>
  <si>
    <t>Economy2</t>
  </si>
  <si>
    <t>Economy3</t>
  </si>
  <si>
    <t>Economy4</t>
  </si>
  <si>
    <t>Economy5</t>
  </si>
  <si>
    <t>Economy6</t>
  </si>
  <si>
    <t>Economy7</t>
  </si>
  <si>
    <t>Economy8</t>
  </si>
  <si>
    <t>Average1</t>
  </si>
  <si>
    <t>Average2</t>
  </si>
  <si>
    <t>Average3</t>
  </si>
  <si>
    <t>Average4</t>
  </si>
  <si>
    <t>Average5</t>
  </si>
  <si>
    <t>Average6</t>
  </si>
  <si>
    <t>Average7</t>
  </si>
  <si>
    <t>Average8</t>
  </si>
  <si>
    <t>Average9</t>
  </si>
  <si>
    <t>Average10</t>
  </si>
  <si>
    <t>Average11</t>
  </si>
  <si>
    <t>Average12</t>
  </si>
  <si>
    <t>Custom1</t>
  </si>
  <si>
    <t>Custom2</t>
  </si>
  <si>
    <t>Custom3</t>
  </si>
  <si>
    <t>Custom4</t>
  </si>
  <si>
    <t>Custom5</t>
  </si>
  <si>
    <t>Custom6</t>
  </si>
  <si>
    <t>Custom7</t>
  </si>
  <si>
    <t>Custom8</t>
  </si>
  <si>
    <t>Custom9</t>
  </si>
  <si>
    <t>Custom10</t>
  </si>
  <si>
    <t>Luxury1</t>
  </si>
  <si>
    <t>Luxury2</t>
  </si>
  <si>
    <t>Luxury3</t>
  </si>
  <si>
    <t>Luxury4</t>
  </si>
  <si>
    <t>Luxury5</t>
  </si>
  <si>
    <t>Luxury6</t>
  </si>
  <si>
    <t>Luxury7</t>
  </si>
  <si>
    <t>Luxury8</t>
  </si>
  <si>
    <t>Luxury9</t>
  </si>
  <si>
    <t>Luxury10</t>
  </si>
  <si>
    <t>Default</t>
  </si>
  <si>
    <t>Economy</t>
  </si>
  <si>
    <t>Apartment 1-3 Story</t>
  </si>
  <si>
    <t>Brick Veneer/Reinforced Concrete</t>
  </si>
  <si>
    <t xml:space="preserve">Brick Veneer &amp; Concrete Block / Bearing Walls </t>
  </si>
  <si>
    <t>Concrete Block/Bearing Walls</t>
  </si>
  <si>
    <t>Face Brick &amp; Concrete Block/Reinforced Concrete</t>
  </si>
  <si>
    <t xml:space="preserve">Concrete Block/Steel Roof Deck </t>
  </si>
  <si>
    <t>Decorative Concrete Block/Bearing walls</t>
  </si>
  <si>
    <t>Decorative Concrete Block/Steel Truss</t>
  </si>
  <si>
    <t>Brick Veneer/Wood Frame</t>
  </si>
  <si>
    <t>Decorative Concrete Block/Steel Joist</t>
  </si>
  <si>
    <t>Decorative Concrete Block/Reinforced Concrete</t>
  </si>
  <si>
    <t>Brick Veneer/ Rigid Steel</t>
  </si>
  <si>
    <t>Brick Veneer/ Reinforeced Concrete</t>
  </si>
  <si>
    <t>Brick Veneer/wood Frame</t>
  </si>
  <si>
    <t>Concrete Block/Bearing Wall</t>
  </si>
  <si>
    <t>Face Brick &amp; Common Brick/Reinforced Concrete</t>
  </si>
  <si>
    <t>Decorative Concrete Block/Precast Concrete</t>
  </si>
  <si>
    <t>Aluminum Clapboard/Wood Frame</t>
  </si>
  <si>
    <t>E.I.F.S. &amp; Concrete Block/Rigid Steel</t>
  </si>
  <si>
    <t>Cast in Place Concrete/Reinforced Concrete</t>
  </si>
  <si>
    <t>Cast in Place Concrete/Steel Joists</t>
  </si>
  <si>
    <t>Cast in Place Concrete/Rigid Steel</t>
  </si>
  <si>
    <t>Brick Veneer/Wood Truss</t>
  </si>
  <si>
    <t>Conrete Block/Steel Joists</t>
  </si>
  <si>
    <t>Face Brick &amp; Concrete Block/Bearing walls</t>
  </si>
  <si>
    <t>Curtain Wall/Reinforced Conrete</t>
  </si>
  <si>
    <t>Brick Veneer/Rigid Steel</t>
  </si>
  <si>
    <t>Aluminum Clapboard/Wood Truss</t>
  </si>
  <si>
    <t>Face Brick &amp; Concrete Block/Steel Joists</t>
  </si>
  <si>
    <t>E.I.F.S./Reinforced Concrete</t>
  </si>
  <si>
    <t>Fiber Cement/Rigid Steel</t>
  </si>
  <si>
    <t>Face Brick/Wood Frame</t>
  </si>
  <si>
    <t xml:space="preserve">Face Brick &amp; Concrete Block/Bearing Walls </t>
  </si>
  <si>
    <t>Concrete Block/Precast Concrete</t>
  </si>
  <si>
    <t>Concrete Block/Reinforced Concrete</t>
  </si>
  <si>
    <t>Brick Veneer - Wood Frame</t>
  </si>
  <si>
    <t>6" Log - Solid Wall</t>
  </si>
  <si>
    <t>Average</t>
  </si>
  <si>
    <t>Apartment 4-7 Story</t>
  </si>
  <si>
    <t>Brick Veneer &amp; Concrete Block / Wood Truss</t>
  </si>
  <si>
    <t>Concrete Block/Rigid Steel</t>
  </si>
  <si>
    <t>Face Brick &amp; Concrete Block/Rigid Steel</t>
  </si>
  <si>
    <t xml:space="preserve">Decorative Concrete Block/Steel Roof Deck </t>
  </si>
  <si>
    <t>Decorative Concrete Block/Rigid Steel</t>
  </si>
  <si>
    <t>Decorative Concrete Block/Wood Arch</t>
  </si>
  <si>
    <t>Stone Ashlar &amp; Cocnrete block/Steel Joist</t>
  </si>
  <si>
    <t>Decorative Concrete Block/Wood Joist</t>
  </si>
  <si>
    <t xml:space="preserve">Brick Veneer/Rigid Steel </t>
  </si>
  <si>
    <t>Brick Veneer/ Reinforced Concrete</t>
  </si>
  <si>
    <t>Curtain Wall/Rigid steel</t>
  </si>
  <si>
    <t>Face Brick &amp; Common Brick/Rigid Steel</t>
  </si>
  <si>
    <t>Decorative Concrete Block/Steel Joists</t>
  </si>
  <si>
    <t>Decorative Concrete Block/Wood Joists</t>
  </si>
  <si>
    <t>Cast in Place Concrete/Wood Joists</t>
  </si>
  <si>
    <t xml:space="preserve">Decorative Concrete Block/Rigid Steel </t>
  </si>
  <si>
    <t>E.I.F.S./Rigid Steel</t>
  </si>
  <si>
    <t>E.I.F.S. &amp; Metal Studs/Steel Roof Deck</t>
  </si>
  <si>
    <t>Curtain Wall/Rigid Steel</t>
  </si>
  <si>
    <t>Metal Panel &amp; Wood Studs/Wood Truss</t>
  </si>
  <si>
    <t>Face Brick &amp; Concrete Block/Wood Joists</t>
  </si>
  <si>
    <t>Stone Veneer/Rigid Steel</t>
  </si>
  <si>
    <t xml:space="preserve">E.I.F.S./Rigid Steel </t>
  </si>
  <si>
    <t>Metal Sandwich Panel/Rigid Steel</t>
  </si>
  <si>
    <t>E.I.F.S. &amp; Metal Studs/Steel Joists</t>
  </si>
  <si>
    <t>Concrete Block/Wood Frame</t>
  </si>
  <si>
    <t>E.I.F.S./Wood Frame</t>
  </si>
  <si>
    <t>E.I.F.S./Steel Joists</t>
  </si>
  <si>
    <t>Painted Concrete Block</t>
  </si>
  <si>
    <t>Solid Masonry</t>
  </si>
  <si>
    <t>8" Log - Solid Wall</t>
  </si>
  <si>
    <t>Solid Brick</t>
  </si>
  <si>
    <t xml:space="preserve">Solid Brick </t>
  </si>
  <si>
    <t>Custom</t>
  </si>
  <si>
    <t>Apartment 8-24 Story</t>
  </si>
  <si>
    <t>E.I.F.S. &amp; Metal studs/Rigid Steel</t>
  </si>
  <si>
    <t xml:space="preserve">Cuttain Wall/Rigid Steel </t>
  </si>
  <si>
    <t>Brick Veneer / Rigid Steel</t>
  </si>
  <si>
    <t>Decorative Concrete Block/Bearing Walls</t>
  </si>
  <si>
    <t>Limestone &amp; Concrete Block/Reinforced Concrete</t>
  </si>
  <si>
    <t xml:space="preserve">Face Brick &amp; Concrete Block/Steel Roof Deck </t>
  </si>
  <si>
    <t>Face Brick &amp; Concrete Block/Steel Truss</t>
  </si>
  <si>
    <t>Stone Ashlar &amp; Cocnrete block/Wood Truss</t>
  </si>
  <si>
    <t>Face Brick &amp; Concrete Block/Steel Joist</t>
  </si>
  <si>
    <t>Cutain Wall/Rigid Steel</t>
  </si>
  <si>
    <t>Curtain wall/ Rigid Steel</t>
  </si>
  <si>
    <t>Face Brick &amp; Concrete Block/Precast Concrete</t>
  </si>
  <si>
    <t>Face Brick &amp; Concrete Block/Wood Truss</t>
  </si>
  <si>
    <t>Concrete Block/Steel Joists</t>
  </si>
  <si>
    <t>Concrete Block/Wood Arch</t>
  </si>
  <si>
    <t>Metal Panel/Rigid Steel</t>
  </si>
  <si>
    <t>Conrete Block/Wood Truss</t>
  </si>
  <si>
    <t>Precast Concrete/Bearing walls</t>
  </si>
  <si>
    <t>Face Brick &amp; Concrete Block/Steel Roof Deck</t>
  </si>
  <si>
    <t>Plywood Siding/Wood Truss</t>
  </si>
  <si>
    <t>Limestone &amp; Concrete Block/Steel Joists</t>
  </si>
  <si>
    <t>Stucco/Reinforced Concrete</t>
  </si>
  <si>
    <t>Precast Concrete/Rigid Steel</t>
  </si>
  <si>
    <t>Face Brick &amp; Metal Studs/Reinforced Concrete</t>
  </si>
  <si>
    <t>Fiber Cement/Wood Frame</t>
  </si>
  <si>
    <t>E.I.F.S./Wood Truss</t>
  </si>
  <si>
    <t>Stucco on Wood Frame</t>
  </si>
  <si>
    <t>Stone Veneer - Wood Frame</t>
  </si>
  <si>
    <t>Solid Stone</t>
  </si>
  <si>
    <t xml:space="preserve">Solid Stone </t>
  </si>
  <si>
    <t>Luxury</t>
  </si>
  <si>
    <t xml:space="preserve">Assisted - Senior Living </t>
  </si>
  <si>
    <t>Brick Veneer / Wood Frame</t>
  </si>
  <si>
    <t>Face Brick &amp; Concrete Block/Bearing Walls</t>
  </si>
  <si>
    <t>Limestone &amp; Concrete Block/Rigid Steel</t>
  </si>
  <si>
    <t xml:space="preserve">Jumbo Brick &amp; Concrete Block/Steel Roof Deck </t>
  </si>
  <si>
    <t>Face Brick &amp; Concrete Block/Rigid Wood Arch</t>
  </si>
  <si>
    <t>Stucco &amp; Cocnrete Block/Steel Joist</t>
  </si>
  <si>
    <t>Face Brick &amp; Concrete Block/Wood Joist</t>
  </si>
  <si>
    <t xml:space="preserve">Fiber Cement/ Rigid Steel </t>
  </si>
  <si>
    <t>Stucco &amp; Concrete Block/Wood Truss</t>
  </si>
  <si>
    <t xml:space="preserve">Metal Panel/Rigid Steel </t>
  </si>
  <si>
    <t>Stucco &amp; Concrete Block/Bearing walls</t>
  </si>
  <si>
    <t>Limestone &amp; Concrete Block/Wood Truss</t>
  </si>
  <si>
    <t>Concrete Block/Wood Joists</t>
  </si>
  <si>
    <t>Face Brick &amp; Glazed Block/Steel Joists</t>
  </si>
  <si>
    <t>Reinforced Concrete/Reinforced Concrete</t>
  </si>
  <si>
    <t>Precast Concrete/Reinforced Concrete</t>
  </si>
  <si>
    <t>Stucco &amp; Concrete Block/Steel Joists</t>
  </si>
  <si>
    <t>Precast Concrete/Wood Truss</t>
  </si>
  <si>
    <t>Stucco &amp; Concrete Block/Precast Concrete</t>
  </si>
  <si>
    <t>Metal Sandwich Panel/Steel Joists</t>
  </si>
  <si>
    <t xml:space="preserve">Precast Concrete/Rigid Steel </t>
  </si>
  <si>
    <t>Wood Clapboard/Wood Truss</t>
  </si>
  <si>
    <t>Limestone &amp; Concrete Block/Wood Joists</t>
  </si>
  <si>
    <t>Wood Clapboard/Wood Frame</t>
  </si>
  <si>
    <t xml:space="preserve">Stucco &amp; Concrete Block/Bearing Walls </t>
  </si>
  <si>
    <t>Face Brick &amp; Metal Studs/Rigid Steel</t>
  </si>
  <si>
    <t xml:space="preserve">Pre-Engineered Metal Building/Rigid Steel </t>
  </si>
  <si>
    <t>Wood Siding - Wood Frame</t>
  </si>
  <si>
    <t>Auditurium</t>
  </si>
  <si>
    <t>Stone Veneer / Wood Frame</t>
  </si>
  <si>
    <t>Vinyl Clapboard / Wood Frame</t>
  </si>
  <si>
    <t>Precast Concrete / Reinforced Concrete</t>
  </si>
  <si>
    <t xml:space="preserve">Precast Concrete/Steel Roof Deck </t>
  </si>
  <si>
    <t>Stone &amp; Concrete Block/Steel Truss</t>
  </si>
  <si>
    <t>Stucco &amp; Cocnrete Block/Wood Truss</t>
  </si>
  <si>
    <t>Stone Veneer/Reinforced Concrete</t>
  </si>
  <si>
    <t>Precast Concrete/Precast Concrete</t>
  </si>
  <si>
    <t>Tilt-up Concrete Panels/Bearing walls</t>
  </si>
  <si>
    <t>Metal Panel / Reinforced Concrete</t>
  </si>
  <si>
    <t>Stone &amp; Concrete Block/ Reinforced Concrete</t>
  </si>
  <si>
    <t>Tilt-up Concrete Panels/Steel Joists</t>
  </si>
  <si>
    <t>Stucco &amp; Concrete Block/Reinforced Concrete</t>
  </si>
  <si>
    <t>Limestone &amp; Concrete Block/Bearing walls</t>
  </si>
  <si>
    <t>Limestone &amp; Concrete Block/Precast Concrete</t>
  </si>
  <si>
    <t>Wood Board and Batten/Wood Frame</t>
  </si>
  <si>
    <t>Stucco &amp; Concrete Block/Rigid Steel</t>
  </si>
  <si>
    <t>Precast Concrete / Precast Concrete</t>
  </si>
  <si>
    <t>Face Brick &amp; Concrete Block/Wood Arch</t>
  </si>
  <si>
    <t>Precast Concrete/Bearing Walls</t>
  </si>
  <si>
    <t>Metal Panel/Reinforced Concrete</t>
  </si>
  <si>
    <t>Stone Veneer/Wood Frame</t>
  </si>
  <si>
    <t>Stucco &amp; Concrete Block/Wood Joists</t>
  </si>
  <si>
    <t>Precast Concrete/Steel Joists</t>
  </si>
  <si>
    <t>Tilt-up  Concrete Panels/Steel Roof Deck</t>
  </si>
  <si>
    <t>Limestone &amp; Concrete Block/Bearing Walls</t>
  </si>
  <si>
    <t>Metal Panel &amp; Metal Studs/Rigid Steel</t>
  </si>
  <si>
    <t>Metal Sandwich Panel/Wood Truss</t>
  </si>
  <si>
    <t>Stone &amp; Concrete Block/Steel Joists</t>
  </si>
  <si>
    <t>Stone &amp; Concrete Block/Reinforced Concrete</t>
  </si>
  <si>
    <t>Bank</t>
  </si>
  <si>
    <t>Stucco &amp; Concrete Block/Reinforced concrete</t>
  </si>
  <si>
    <t>Stucco/Reinforced concrete</t>
  </si>
  <si>
    <t>Wood ClapBoard / Wood Frame</t>
  </si>
  <si>
    <t xml:space="preserve">Precast Concrete / Rigid steel </t>
  </si>
  <si>
    <t xml:space="preserve">Stucco &amp; Concrete Block/Steel Roof Deck </t>
  </si>
  <si>
    <t>Stone &amp; Concrete Block/Rigid Wood Arch</t>
  </si>
  <si>
    <t>Wood Shingles/wood Frame</t>
  </si>
  <si>
    <t>Tilt-up Concrete Panels/Rigid Steel</t>
  </si>
  <si>
    <t>Stone Veneer/ Wood Frame</t>
  </si>
  <si>
    <t xml:space="preserve">Stone &amp; Concrete Block/ Rigid steel </t>
  </si>
  <si>
    <t>Wood Clapboard/Wood Frame.</t>
  </si>
  <si>
    <t xml:space="preserve">Tilt-up Concrete Panels/Rigid Steel </t>
  </si>
  <si>
    <t>Stucco/Wood Frame</t>
  </si>
  <si>
    <t>Vinyl Clapboard/Wood Frame</t>
  </si>
  <si>
    <t>Wood Shingles/Wood Frame</t>
  </si>
  <si>
    <t>Tilt-up  Concrete Panels/Rigid Steel</t>
  </si>
  <si>
    <t>Tilt-up Concrete Panels/Reinforced Concrete</t>
  </si>
  <si>
    <t>Stone &amp; Concrete Block/Wood Joists</t>
  </si>
  <si>
    <t>Stone &amp; Concrete Block/Rigid Steel</t>
  </si>
  <si>
    <t>Bank (Green)</t>
  </si>
  <si>
    <t>Bowling Alley</t>
  </si>
  <si>
    <t xml:space="preserve">Bus Terminal </t>
  </si>
  <si>
    <t xml:space="preserve">Car Wash </t>
  </si>
  <si>
    <t>Church</t>
  </si>
  <si>
    <t>Club, Country</t>
  </si>
  <si>
    <t>Cub, Social</t>
  </si>
  <si>
    <t>College, Classroom, 2-3 Story</t>
  </si>
  <si>
    <t>College, Dormitory, 2-3Story</t>
  </si>
  <si>
    <t>College, Classroom, 2-3 Story (Green)</t>
  </si>
  <si>
    <t>College, Dormitory, 2-3Story (Green)</t>
  </si>
  <si>
    <t>College, Dormitory, 4-8Story (Green)</t>
  </si>
  <si>
    <t>College, Dormitory, 4-8Story</t>
  </si>
  <si>
    <t>College, Laboratory</t>
  </si>
  <si>
    <t>College, Laboratory (Green)</t>
  </si>
  <si>
    <t>College, Student Union</t>
  </si>
  <si>
    <t>Community Center</t>
  </si>
  <si>
    <t>Computer Data Center</t>
  </si>
  <si>
    <t>Courthouse, 1 story</t>
  </si>
  <si>
    <t>Courthouse, 2-3story</t>
  </si>
  <si>
    <t>Day care center</t>
  </si>
  <si>
    <t>Factory, 1 Story</t>
  </si>
  <si>
    <t>Factory, 3 Story</t>
  </si>
  <si>
    <t>Fire Station Story 1</t>
  </si>
  <si>
    <t>Fire Station Story 1 (Green)</t>
  </si>
  <si>
    <t>Fire Station Story 2</t>
  </si>
  <si>
    <t>Fire Station Story 2 (Green)</t>
  </si>
  <si>
    <t>Fraternity/Sorority House</t>
  </si>
  <si>
    <t>Funeral Home</t>
  </si>
  <si>
    <t>Funeral Home (Green)</t>
  </si>
  <si>
    <t>Garage, Auto Sales</t>
  </si>
  <si>
    <t>Garage, Parking</t>
  </si>
  <si>
    <t>Garage, Repair</t>
  </si>
  <si>
    <t>Garage,Service Station</t>
  </si>
  <si>
    <t>Garage, Underground Parking</t>
  </si>
  <si>
    <t>Gymnasium</t>
  </si>
  <si>
    <t>Hangar, Aircraft</t>
  </si>
  <si>
    <t>Hospital 2-3 Story</t>
  </si>
  <si>
    <t>Hospital 4-8 Story</t>
  </si>
  <si>
    <t>Hotel, 4-7 Story</t>
  </si>
  <si>
    <t>Hotel, 8-24 Story</t>
  </si>
  <si>
    <t>Jail</t>
  </si>
  <si>
    <t>Laundromant</t>
  </si>
  <si>
    <t>Library</t>
  </si>
  <si>
    <t>Library (Green)</t>
  </si>
  <si>
    <t>Medical Office, 1 Story</t>
  </si>
  <si>
    <t>Medical Office, 1 Story (Green)</t>
  </si>
  <si>
    <t>Medical Office, 2 Story</t>
  </si>
  <si>
    <t>Medical Office, 2 Story (Green)</t>
  </si>
  <si>
    <t>Motel, 1 Story</t>
  </si>
  <si>
    <t>Motel, 1 Story (Green)</t>
  </si>
  <si>
    <t>Motel, 2-3 Story</t>
  </si>
  <si>
    <t>Motel, 2-3 Story (Green)</t>
  </si>
  <si>
    <t>Movie Theater</t>
  </si>
  <si>
    <t>Nursing Home</t>
  </si>
  <si>
    <t>Office, 1 Story</t>
  </si>
  <si>
    <t>Office, 1 Story (Green)</t>
  </si>
  <si>
    <t>Office, 11-20 Story</t>
  </si>
  <si>
    <t>Office, 11-20 Story (Green)</t>
  </si>
  <si>
    <t>Office, 2-4 Story</t>
  </si>
  <si>
    <t>Office, 2-4 Story (Green)</t>
  </si>
  <si>
    <t>Office, 5-10 Story</t>
  </si>
  <si>
    <t>Office, 5-10 Story (Green)</t>
  </si>
  <si>
    <t>Outpatient Surgery Center</t>
  </si>
  <si>
    <t>Police Station</t>
  </si>
  <si>
    <t>Police Station (Green)</t>
  </si>
  <si>
    <t xml:space="preserve">Post Frame Barn </t>
  </si>
  <si>
    <t>Post Office</t>
  </si>
  <si>
    <t>Racquetball court</t>
  </si>
  <si>
    <t>Religious Education</t>
  </si>
  <si>
    <t>Resturant</t>
  </si>
  <si>
    <t>Resturant (Green)</t>
  </si>
  <si>
    <t xml:space="preserve">Resturant, Fast Food </t>
  </si>
  <si>
    <t>School, Elementary</t>
  </si>
  <si>
    <t>School, Elementary (Green)</t>
  </si>
  <si>
    <t>School, High 2-3 Story</t>
  </si>
  <si>
    <t>School, High 2-3 Story (Green)</t>
  </si>
  <si>
    <t>School, Jr High, 2-3 Story</t>
  </si>
  <si>
    <t>School, Jr High, 2-3 Story (Green)</t>
  </si>
  <si>
    <t>School, Vocational</t>
  </si>
  <si>
    <t>School, Vocational (Green)</t>
  </si>
  <si>
    <t>Store, Convenience</t>
  </si>
  <si>
    <t>Store Department, 1 Story</t>
  </si>
  <si>
    <t>Store Department, 3 Story</t>
  </si>
  <si>
    <t>Store, Retail</t>
  </si>
  <si>
    <t>Supermarket</t>
  </si>
  <si>
    <t>Supermarket (Green)</t>
  </si>
  <si>
    <t>Swimming Pool, Enclosed</t>
  </si>
  <si>
    <t>Telephone Exchange</t>
  </si>
  <si>
    <t>Town Hall, 1 Story</t>
  </si>
  <si>
    <t>Town Hall, 2-3 Story</t>
  </si>
  <si>
    <t>Veterinary Hospital</t>
  </si>
  <si>
    <t>Warehouse</t>
  </si>
  <si>
    <t>Warehouse (Green)</t>
  </si>
  <si>
    <t>Warehouse Self Storage</t>
  </si>
  <si>
    <t>Economy 1 Story</t>
  </si>
  <si>
    <t>Economy 1 Story wings &amp; ells</t>
  </si>
  <si>
    <t>Economy 1 - 1/2 Story</t>
  </si>
  <si>
    <t>Economy 1 - 1/2 Story wings &amp; ells</t>
  </si>
  <si>
    <t>Economy 2 Story</t>
  </si>
  <si>
    <t>Economy 2 Story wings &amp; ells</t>
  </si>
  <si>
    <t>Economy Bi level</t>
  </si>
  <si>
    <t>Economy Tri level</t>
  </si>
  <si>
    <t>Average Story 1</t>
  </si>
  <si>
    <t>Average 1 Story wings &amp; ells</t>
  </si>
  <si>
    <t>Average 1 - 1/2 Story</t>
  </si>
  <si>
    <t>Average 1 - 1/2 Story wings &amp; ells</t>
  </si>
  <si>
    <t>Average 2 Story</t>
  </si>
  <si>
    <t>Average 2 Story wings &amp; ells</t>
  </si>
  <si>
    <t>Average 2 - 1/2 Story</t>
  </si>
  <si>
    <t>Average 3 Story</t>
  </si>
  <si>
    <t>Average Bi level</t>
  </si>
  <si>
    <t>Average Tri level</t>
  </si>
  <si>
    <t>Solid Wall 1 Story</t>
  </si>
  <si>
    <t>Solid Wall 2 Story</t>
  </si>
  <si>
    <t>Custom Story 1</t>
  </si>
  <si>
    <t>Custom 1 Story wings &amp; ells</t>
  </si>
  <si>
    <t>Custom 1 - 1/2 Story</t>
  </si>
  <si>
    <t>Custom 1 - 1/2 Story wings &amp; ells</t>
  </si>
  <si>
    <t>Custom 2 Story</t>
  </si>
  <si>
    <t>Custom 2 Story wings &amp; ells</t>
  </si>
  <si>
    <t>Custom 2 - 1/2 Story</t>
  </si>
  <si>
    <t>Custom 3 Story</t>
  </si>
  <si>
    <t>Custom Bi level</t>
  </si>
  <si>
    <t>Custom Tri level</t>
  </si>
  <si>
    <t>Luxury Story 1</t>
  </si>
  <si>
    <t>Luxury 1 Story wings &amp; ells</t>
  </si>
  <si>
    <t>Luxury 1 - 1/2 Story</t>
  </si>
  <si>
    <t>Luxury 1 - 1/2 Story wings &amp; ells</t>
  </si>
  <si>
    <t>Luxury 2 Story</t>
  </si>
  <si>
    <t>Luxury 2 Story wings &amp; ells</t>
  </si>
  <si>
    <t>Luxury 2 - 1/2 Story</t>
  </si>
  <si>
    <t>Luxury 3 Story</t>
  </si>
  <si>
    <t>Luxury Bi level</t>
  </si>
  <si>
    <t>Luxury Tri level</t>
  </si>
  <si>
    <t>Painting</t>
  </si>
  <si>
    <t>Common Areas</t>
  </si>
  <si>
    <t>Base Paint</t>
  </si>
  <si>
    <t>Units</t>
  </si>
  <si>
    <t>Paint On 42" H Guardrail (1 - Coat Primer + 2 - Coat Paint)</t>
  </si>
  <si>
    <t>Ceiling  Paint</t>
  </si>
  <si>
    <t>Opening  Paint</t>
  </si>
  <si>
    <t>5 (54'0")</t>
  </si>
  <si>
    <t>Exterior Paint</t>
  </si>
  <si>
    <t>Dumpster Enclosure</t>
  </si>
  <si>
    <t>D-600U, Paint On Door, Manufacturer: Sherwin Williams, Model: Promar 200 Zero Voc Latex Paint B30-2600, Color: Series/Finish Sw 7035 Aesthetic White / Semi Gloss</t>
  </si>
  <si>
    <t>D-600U, Paint On Door Frame, Manufacturer: Sherwin Williams, Model: Promar 200 Zero Voc Latex Paint B30-2600, Color: Series/Finish Sw 7035 Aesthetic White / Semi Gloss</t>
  </si>
  <si>
    <t>Plan Design And Permitting</t>
  </si>
  <si>
    <t>Architecture (Assumed By Owner)</t>
  </si>
  <si>
    <t>Engineering  (Assumed By Owner)</t>
  </si>
  <si>
    <t>Soils Report  (Assumed By Owner)</t>
  </si>
  <si>
    <t>Geological Report  (Assumed By Owner)</t>
  </si>
  <si>
    <t>Permits (Based On Interior Finish Area)</t>
  </si>
  <si>
    <t xml:space="preserve">Blueprints (?? Pages) </t>
  </si>
  <si>
    <t>Utilities During Construction (Based On Interior Finish Area)</t>
  </si>
  <si>
    <t>Port-O-Potty (Based On Interior Finish Area)</t>
  </si>
  <si>
    <t>Temporary Power (Based On Interior Finish Area)</t>
  </si>
  <si>
    <t>Equipment And Tools</t>
  </si>
  <si>
    <t>Signage And Promotion</t>
  </si>
  <si>
    <t>Promotion/Entertainment</t>
  </si>
  <si>
    <t>Cleaning And Final</t>
  </si>
  <si>
    <t>Window Washing (Rough # Of Windows )</t>
  </si>
  <si>
    <t>Paint On 4" Wide Parking Strips</t>
  </si>
  <si>
    <t>Paint On Disable Symbol</t>
  </si>
  <si>
    <t>Paint On 6" Dia Bollards (4' -0" Ht)</t>
  </si>
  <si>
    <t xml:space="preserve">WDB-1, Paint On Wood Base, Size: 8" H X 1"D Piece to be Stained, Stain Garde Oak Flat Stock </t>
  </si>
  <si>
    <t>Paint On 36" H Handrail (1 - Coat Primer + 2 - Coat Paint)</t>
  </si>
  <si>
    <t>Paint On Exosed Ceiling, Manufacturer: Sherwin Williams</t>
  </si>
  <si>
    <t>Pt-1, Paint On Walls, Manufacturer: Benjamin Moore, Model: Seapearl (961), Color: Eggshell</t>
  </si>
  <si>
    <t>Unit A3</t>
  </si>
  <si>
    <t>Unit A4</t>
  </si>
  <si>
    <t>Unit B1</t>
  </si>
  <si>
    <t>Unit B1-TYPE A</t>
  </si>
  <si>
    <t>Unit C1</t>
  </si>
  <si>
    <t>Unit C1 TYPE-A</t>
  </si>
  <si>
    <t>UPT-1, Paint On Walls, Manufacturer: Sherwin Williams, Model: SW 7004 Snowbond, Finish: Eggshell</t>
  </si>
  <si>
    <t>UPT-3, Paint On Ceiing, Manufacturer: Sherwin Williams, Model: SW 7004 Snowbond, Finish: Flat</t>
  </si>
  <si>
    <t>UPT-2, Paint On Walls, Manufacturer: Sherwin Williams, Model: SW 7004 Snowbond, Finish: SEMI-Gloss</t>
  </si>
  <si>
    <t>WDB, Paint On Wood Base, Manufacturer: Sherwin Williams, Model: SW 7004 Snowbond, Finish: Flat</t>
  </si>
  <si>
    <t>Unit A1 Type A</t>
  </si>
  <si>
    <t xml:space="preserve">Unit A1 </t>
  </si>
  <si>
    <t>Unit A2</t>
  </si>
  <si>
    <t>Unit B2</t>
  </si>
  <si>
    <t>Unit B3</t>
  </si>
  <si>
    <t>Unit B4</t>
  </si>
  <si>
    <t>Unit A1</t>
  </si>
  <si>
    <t>Pt-12, Paint On Walls, Manufacturer: Sherwin Williams, Model: Iron Ore (SW7069), Finish: Eggshell</t>
  </si>
  <si>
    <t>Pt-1, Paint On Walls, Manufacturer: Benjamin Moore, Model: Seapearl (961), Finish: Eggshell</t>
  </si>
  <si>
    <t>Pt-3, Paint On Ceiling, Manufacturer: Sherwin Williams, Model: Urban Bronze (SW 7048), Finish: Flat</t>
  </si>
  <si>
    <t>Pt-7, Paint On Ceiling, Manufacturer: Benjamin Moore, Model: Seapearl (961), Finish: Flat</t>
  </si>
  <si>
    <t>Pt-8, Paint On Ceiling, Manufacturer: Sherwin Williams, Model: IN the Navy (SW9178), Finish: Flat</t>
  </si>
  <si>
    <t>Pt-9, Paint On Ceiling, Manufacturer: Sherwin Williams, Model: Snowbound (SW7004), Finish: Flat</t>
  </si>
  <si>
    <t>Pt-15, Paint On Ceiling, Manufacturer: Benjamin Moore, Model: Jade Romanesque (476), Finish: Flat</t>
  </si>
  <si>
    <t>Pt-18, Paint On Ceiling, Manufacturer: Sherwin Williams, Model: Iron Ore (SW7069), Finish: Flat</t>
  </si>
  <si>
    <t xml:space="preserve">WDB-2, Paint On Wood Base, Manufacturer: Benjamin Moore, Model: Forset Floor (1498), Finish: Flat, Size: 8" H X 1"D Piece to be Painted, </t>
  </si>
  <si>
    <t xml:space="preserve">WDB-3, Paint On Wood Base, Manufacturer: Sherwin Williams, Model: Urban Bronze (SW 7048), Finish: Flat, Size: 8" H X 1"D Piece to be Painted, </t>
  </si>
  <si>
    <t xml:space="preserve">WDB-4, Paint On Wood Base, Manufacturer: Sherwin Williams, Model: Iron Ore (SW7069), Finish: Flat, Size: 8" H X 1"D Piece to be Painted, </t>
  </si>
  <si>
    <t>Pt-1 Paint @ Fiber Cement Panel Siding
Manufacture: Sherwin Williams
Finish: Tbd</t>
  </si>
  <si>
    <t>Pt-2 Paint @ Fiber Cement Panel Siding
Manufacture: Sherwin Williams
Finish: Tbd</t>
  </si>
  <si>
    <t>Pt-2 Paint @ Fiber Cement Trim
Manufacture: Sherwin Williams
Finish: Tbd</t>
  </si>
  <si>
    <t>Pt-2, Paint On Walls, Manufacturer: Benjamin Moore, Model: Forset Floor (1498), Finish: Flat</t>
  </si>
  <si>
    <t>Pt-3, Paint On Walls, Manufacturer: Sherwin Williams, Model: Urban Bronze (SW 7048), Finish: Eggshell</t>
  </si>
  <si>
    <t>Pt-4, Paint On Walls, Manufacturer: Benjamin Moore, Model: Jade Romanesque (476), Finish: Eggshell</t>
  </si>
  <si>
    <t>Pt-5, Paint On Walls, Manufacturer: Benjamin Moore, Model: Dakota Shadow (448), Finish: Eggshell</t>
  </si>
  <si>
    <t>Pt-6, Paint On Walls, Manufacturer: Sherwin Williams, Model: Iron Ore (SW7069), Finish: Eggshell</t>
  </si>
  <si>
    <t>Pt-15, Paint On Walls, Manufacturer: Benjamin Moore, Model: Jade Romanesque (476), Finish: Eggshell</t>
  </si>
  <si>
    <t>Pt-18, Paint On Walls, Manufacturer: Sherwin Williams, Model: Iron Ore (SW7069), Finish: Eggshell</t>
  </si>
  <si>
    <t>Pt-1, Paint On Ceiling, Manufacturer: Benjamin Moore, Model: Seapearl (961), Finish: Flat</t>
  </si>
  <si>
    <t>Pt-1 Paint @ 4" Fiber Cement Trim
Manufacture: Sherwin Williams
Finish: Tbd</t>
  </si>
  <si>
    <t>Pt-1 Paint @ 6" Fiber Cement Trim
Manufacture: Sherwin Williams
Finish: Tbd</t>
  </si>
  <si>
    <t>Pt-2 Paint @ 4" Fiber Cement Trim
Manufacture: Sherwin Williams
Finish: Tbd</t>
  </si>
  <si>
    <t>Pt-9, Paint On Walls, Manufacturer: Sherwin Williams, Model: Snowbound (SW7004), Finish: Eggshell</t>
  </si>
  <si>
    <t>Paint On 4" Wide No Handicapped Parking Strips</t>
  </si>
  <si>
    <t>Paint On 4" Wide Handicapped Parking Strips</t>
  </si>
  <si>
    <t>Paint On 12" Wide Crosswalk</t>
  </si>
  <si>
    <t>Paint On 24" Wide Crosswalk</t>
  </si>
  <si>
    <t>Paint On 12'-0" X 7'-0" Dumpster Gate</t>
  </si>
  <si>
    <t>Paint On 6" Dia Pipe Gate Post (7' -0" Ht)</t>
  </si>
  <si>
    <t>Pt-4, Paint On Walls Manufacturer: Benjamin Moore, Model: Jade Romanesque (476), Finish: Eggshell</t>
  </si>
  <si>
    <t>Cline Mission Propities</t>
  </si>
  <si>
    <t>Stumptown Rd, Huntersville</t>
  </si>
  <si>
    <t>UPT-2, Paint On Walls, Manufacturer: Sherwin Williams, Model: SW 7004 Snowbond, Finish: Semi-Gloss</t>
  </si>
  <si>
    <t>Paint On Door, Manufacturer: Sherwin Williams, Model: SW 7004 Snowbond, Finish: Semi-Gloss</t>
  </si>
  <si>
    <t>Paint On Door Frame, Manufacturer: Sherwin Williams, Model: SW 7004 Snowbond, Finish: Semi-Gloss</t>
  </si>
  <si>
    <t>Paint On Door Trim, Manufacturer: Sherwin Williams, Model: SW 7004 Snowbond, Finish: Semi-Gloss</t>
  </si>
  <si>
    <t>Unit S1</t>
  </si>
  <si>
    <t>1 (10'-6")</t>
  </si>
  <si>
    <t>1 (18'-6")</t>
  </si>
  <si>
    <t>4 (42'-11")</t>
  </si>
  <si>
    <t>2 (25'-4")</t>
  </si>
  <si>
    <t>4 (50'-6")</t>
  </si>
  <si>
    <t>4 (49'-4")</t>
  </si>
  <si>
    <t>Pt-1 Paint @ Fiber Cement Trim
Manufacture: Sherwin Williams
Finish: Tbd</t>
  </si>
  <si>
    <t>Pt-1 Paint @ Fiber Cement Lap Siding 
Manufacture: Sherwin Williams
Finish: Tbd</t>
  </si>
  <si>
    <t>Pt-1 Paint @ Fiber Cement Board and Batten Siding 
Manufacture: Sherwin Williams
Finish: Tbd</t>
  </si>
  <si>
    <t>Pt-1 Paint @ Fiber Cement Panel 
Manufacture: Sherwin Williams
Finish: Tbd</t>
  </si>
  <si>
    <t>Pt-2 Paint @ Fiber Cement Panel 
Manufacture: Sherwin Williams
Finish: Tbd</t>
  </si>
  <si>
    <t>Pt-3 Paint @ Fiber Cement Panel 
Manufacture: Sherwin Williams
Finish: Tbd</t>
  </si>
  <si>
    <t>Pt-2 Paint @ Fiber Cement Lap Siding 
Manufacture: Sherwin Williams
Finish: Tbd</t>
  </si>
  <si>
    <t>Pt-3 Paint @ Fiber Cement Trim
Manufacture: Sherwin Williams
Finish: Tbd</t>
  </si>
  <si>
    <t>Pt-23 Paint @ Fiber Cement Trim
Manufacture: Sherwin Williams
Finish: Tbd</t>
  </si>
  <si>
    <t>Pt-1 Paint @ Fiber Cement Board and Batten Siding  
Manufacture: Sherwin Williams
Finish: Tbd</t>
  </si>
  <si>
    <t>Pt-2 Paint @ Fiber Cement Board and Batten Siding 
Manufacture: Sherwin Williams
Finish: Tbd</t>
  </si>
  <si>
    <t>BUILDING 1</t>
  </si>
  <si>
    <t>BUILDING 2</t>
  </si>
  <si>
    <t>BUILDING 3</t>
  </si>
  <si>
    <t>BUILDING 4</t>
  </si>
  <si>
    <t>BUILDING 5</t>
  </si>
  <si>
    <t>BUILDING 6</t>
  </si>
  <si>
    <t>BUILDING 7</t>
  </si>
  <si>
    <t>BUILDING 8</t>
  </si>
  <si>
    <t>MAIL KIKOSK</t>
  </si>
  <si>
    <t>POOL HOUSE</t>
  </si>
  <si>
    <t>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</si>
</sst>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164" formatCode="_(&quot;$&quot;* #,##0_);_(&quot;$&quot;* \(#,##0\);_(&quot;$&quot;* &quot;-&quot;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* #,##0.00_);_(* \(#,##0.00\);_(* &quot;-&quot;??_);_(@_)"/>
    <numFmt numFmtId="168" formatCode="&quot;$&quot;#,##0"/>
    <numFmt numFmtId="169" formatCode="_(&quot;$&quot;* #,##0_);_(&quot;$&quot;* \(#,##0\);_(&quot;$&quot;* &quot;-&quot;??_);_(@_)"/>
    <numFmt numFmtId="170" formatCode="_(&quot;$&quot;* #,##0_);_(&quot;$&quot;* \(#,##0\);_(&quot;$&quot;* &quot;-&quot;?_);_(@_)"/>
    <numFmt numFmtId="171" formatCode="_(&quot;$&quot;* #,##0.0_);_(&quot;$&quot;* \(#,##0.0\);_(&quot;$&quot;* &quot;-&quot;??_);_(@_)"/>
    <numFmt numFmtId="172" formatCode="_-&quot;$&quot;* #,##0_-;\-&quot;$&quot;* #,##0_-;_-&quot;$&quot;* &quot;-&quot;??_-;_-@_-"/>
    <numFmt numFmtId="173" formatCode="_(* #,##0_);_(* \(#,##0\);_(* &quot;-&quot;??_);_(@_)"/>
    <numFmt numFmtId="174" formatCode="0.000"/>
    <numFmt numFmtId="175" formatCode="0.0%"/>
    <numFmt numFmtId="176" formatCode="0.000%"/>
    <numFmt numFmtId="177" formatCode="&quot;$&quot;#,##0.00"/>
    <numFmt numFmtId="178" formatCode="_-[$$-409]* #,##0.00_ ;_-[$$-409]* \-#,##0.00\ ;_-[$$-409]* &quot;-&quot;??_ ;_-@_ "/>
  </numFmts>
  <fonts count="89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indexed="9"/>
      <name val="Calibri"/>
      <family val="2"/>
      <scheme val="minor"/>
    </font>
    <font>
      <u/>
      <sz val="12"/>
      <name val="Calibri"/>
      <family val="2"/>
      <scheme val="minor"/>
    </font>
    <font>
      <b/>
      <sz val="12"/>
      <color indexed="63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2"/>
      <name val="Arial"/>
      <family val="2"/>
    </font>
    <font>
      <b/>
      <sz val="14"/>
      <color rgb="FFFF0000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b/>
      <sz val="13"/>
      <name val="Calibri"/>
      <family val="2"/>
      <scheme val="minor"/>
    </font>
    <font>
      <b/>
      <sz val="13"/>
      <color rgb="FFFF0000"/>
      <name val="Calibri"/>
      <family val="2"/>
      <scheme val="minor"/>
    </font>
    <font>
      <b/>
      <sz val="12"/>
      <color rgb="FF333333"/>
      <name val="Calibri"/>
      <family val="2"/>
      <scheme val="minor"/>
    </font>
    <font>
      <u/>
      <sz val="12"/>
      <color theme="10"/>
      <name val="Arial"/>
      <family val="2"/>
    </font>
    <font>
      <b/>
      <sz val="12"/>
      <color theme="0" tint="-0.499984740745262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b/>
      <sz val="12"/>
      <color indexed="62"/>
      <name val="Calibri"/>
      <family val="2"/>
      <scheme val="minor"/>
    </font>
    <font>
      <b/>
      <sz val="19"/>
      <color theme="0"/>
      <name val="Calibri"/>
      <family val="2"/>
      <scheme val="minor"/>
    </font>
    <font>
      <b/>
      <u/>
      <sz val="12"/>
      <color theme="0" tint="-0.499984740745262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16"/>
      <color rgb="FF0000FF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rgb="FFEC6B0A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3"/>
      <name val="Calibri"/>
      <family val="2"/>
      <scheme val="minor"/>
    </font>
    <font>
      <b/>
      <sz val="16"/>
      <name val="Calibri"/>
      <family val="2"/>
      <scheme val="minor"/>
    </font>
    <font>
      <b/>
      <sz val="28"/>
      <color theme="2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b/>
      <sz val="16"/>
      <color theme="8" tint="-0.249977111117893"/>
      <name val="Calibri"/>
      <family val="2"/>
      <scheme val="minor"/>
    </font>
    <font>
      <b/>
      <sz val="16"/>
      <color theme="9" tint="-0.249977111117893"/>
      <name val="Calibri"/>
      <family val="2"/>
      <scheme val="minor"/>
    </font>
    <font>
      <b/>
      <sz val="16"/>
      <color theme="7"/>
      <name val="Calibri"/>
      <family val="2"/>
      <scheme val="minor"/>
    </font>
    <font>
      <b/>
      <sz val="16"/>
      <color theme="6"/>
      <name val="Calibri"/>
      <family val="2"/>
      <scheme val="minor"/>
    </font>
    <font>
      <b/>
      <sz val="16"/>
      <color theme="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4"/>
      <color theme="0" tint="-0.499984740745262"/>
      <name val="Calibri"/>
      <family val="2"/>
      <scheme val="minor"/>
    </font>
    <font>
      <sz val="14"/>
      <color theme="0" tint="-0.499984740745262"/>
      <name val="Calibri"/>
      <family val="2"/>
      <scheme val="minor"/>
    </font>
    <font>
      <b/>
      <sz val="16"/>
      <color rgb="FFEC6B0A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rgb="FF0000FF"/>
      <name val="Calibri"/>
      <family val="2"/>
      <scheme val="minor"/>
    </font>
    <font>
      <sz val="9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B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C6B0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-0.249977111117893"/>
        <bgColor indexed="64"/>
      </patternFill>
    </fill>
  </fills>
  <borders count="7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rgb="FFB2B2B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22"/>
      </bottom>
      <diagonal/>
    </border>
    <border>
      <left style="thin">
        <color indexed="64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rgb="FFB2B2B2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/>
      <diagonal/>
    </border>
    <border>
      <left style="thin">
        <color indexed="22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double">
        <color indexed="62"/>
      </bottom>
      <diagonal/>
    </border>
    <border>
      <left/>
      <right style="thin">
        <color indexed="64"/>
      </right>
      <top/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double">
        <color indexed="62"/>
      </top>
      <bottom style="thin">
        <color indexed="64"/>
      </bottom>
      <diagonal/>
    </border>
    <border>
      <left/>
      <right/>
      <top style="double">
        <color indexed="62"/>
      </top>
      <bottom style="thin">
        <color indexed="64"/>
      </bottom>
      <diagonal/>
    </border>
    <border>
      <left/>
      <right/>
      <top style="thin">
        <color indexed="62"/>
      </top>
      <bottom style="thin">
        <color indexed="64"/>
      </bottom>
      <diagonal/>
    </border>
    <border>
      <left/>
      <right style="thin">
        <color indexed="64"/>
      </right>
      <top style="thin">
        <color indexed="62"/>
      </top>
      <bottom style="thin">
        <color indexed="64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22"/>
      </top>
      <bottom style="thin">
        <color indexed="22"/>
      </bottom>
      <diagonal/>
    </border>
    <border>
      <left/>
      <right/>
      <top style="thin">
        <color rgb="FFB2B2B2"/>
      </top>
      <bottom/>
      <diagonal/>
    </border>
    <border>
      <left style="thin">
        <color indexed="64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/>
      <diagonal/>
    </border>
    <border>
      <left style="thin">
        <color indexed="64"/>
      </left>
      <right style="thin">
        <color indexed="63"/>
      </right>
      <top style="thin">
        <color indexed="64"/>
      </top>
      <bottom style="thin">
        <color indexed="64"/>
      </bottom>
      <diagonal/>
    </border>
  </borders>
  <cellStyleXfs count="100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9" borderId="0" applyNumberFormat="0" applyBorder="0" applyAlignment="0" applyProtection="0"/>
    <xf numFmtId="0" fontId="14" fillId="3" borderId="0" applyNumberFormat="0" applyBorder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  <xf numFmtId="0" fontId="19" fillId="0" borderId="3" applyNumberFormat="0" applyFill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22" fillId="7" borderId="1" applyNumberFormat="0" applyAlignment="0" applyProtection="0"/>
    <xf numFmtId="0" fontId="23" fillId="0" borderId="6" applyNumberFormat="0" applyFill="0" applyAlignment="0" applyProtection="0"/>
    <xf numFmtId="0" fontId="24" fillId="22" borderId="0" applyNumberFormat="0" applyBorder="0" applyAlignment="0" applyProtection="0"/>
    <xf numFmtId="0" fontId="11" fillId="0" borderId="0"/>
    <xf numFmtId="0" fontId="11" fillId="23" borderId="7" applyNumberFormat="0" applyFont="0" applyAlignment="0" applyProtection="0"/>
    <xf numFmtId="0" fontId="25" fillId="20" borderId="8" applyNumberFormat="0" applyAlignment="0" applyProtection="0"/>
    <xf numFmtId="0" fontId="26" fillId="0" borderId="0" applyNumberFormat="0" applyFill="0" applyBorder="0" applyAlignment="0" applyProtection="0"/>
    <xf numFmtId="0" fontId="27" fillId="0" borderId="9" applyNumberFormat="0" applyFill="0" applyAlignment="0" applyProtection="0"/>
    <xf numFmtId="0" fontId="28" fillId="0" borderId="0" applyNumberFormat="0" applyFill="0" applyBorder="0" applyAlignment="0" applyProtection="0"/>
    <xf numFmtId="0" fontId="10" fillId="0" borderId="0"/>
    <xf numFmtId="0" fontId="29" fillId="0" borderId="0"/>
    <xf numFmtId="0" fontId="11" fillId="0" borderId="0"/>
    <xf numFmtId="167" fontId="29" fillId="0" borderId="0" applyFont="0" applyFill="0" applyBorder="0" applyAlignment="0" applyProtection="0"/>
    <xf numFmtId="0" fontId="30" fillId="0" borderId="0"/>
    <xf numFmtId="167" fontId="11" fillId="0" borderId="0" applyFont="0" applyFill="0" applyBorder="0" applyAlignment="0" applyProtection="0"/>
    <xf numFmtId="0" fontId="11" fillId="0" borderId="0"/>
    <xf numFmtId="166" fontId="30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166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0" fontId="11" fillId="23" borderId="13" applyNumberFormat="0" applyFont="0" applyAlignment="0" applyProtection="0"/>
    <xf numFmtId="0" fontId="5" fillId="0" borderId="0"/>
    <xf numFmtId="0" fontId="11" fillId="23" borderId="13" applyNumberFormat="0" applyFont="0" applyAlignment="0" applyProtection="0"/>
    <xf numFmtId="0" fontId="11" fillId="23" borderId="13" applyNumberFormat="0" applyFont="0" applyAlignment="0" applyProtection="0"/>
    <xf numFmtId="0" fontId="11" fillId="23" borderId="13" applyNumberFormat="0" applyFont="0" applyAlignment="0" applyProtection="0"/>
    <xf numFmtId="0" fontId="4" fillId="0" borderId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0" fontId="11" fillId="23" borderId="23" applyNumberFormat="0" applyFont="0" applyAlignment="0" applyProtection="0"/>
    <xf numFmtId="166" fontId="47" fillId="0" borderId="0" applyFont="0" applyFill="0" applyBorder="0" applyAlignment="0" applyProtection="0"/>
    <xf numFmtId="9" fontId="47" fillId="0" borderId="0" applyFont="0" applyFill="0" applyBorder="0" applyAlignment="0" applyProtection="0"/>
    <xf numFmtId="0" fontId="25" fillId="20" borderId="25" applyNumberFormat="0" applyAlignment="0" applyProtection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23" borderId="30" applyNumberFormat="0" applyFont="0" applyAlignment="0" applyProtection="0"/>
    <xf numFmtId="0" fontId="11" fillId="23" borderId="30" applyNumberFormat="0" applyFont="0" applyAlignment="0" applyProtection="0"/>
    <xf numFmtId="0" fontId="11" fillId="23" borderId="30" applyNumberFormat="0" applyFont="0" applyAlignment="0" applyProtection="0"/>
    <xf numFmtId="0" fontId="25" fillId="20" borderId="31" applyNumberFormat="0" applyAlignment="0" applyProtection="0"/>
    <xf numFmtId="0" fontId="22" fillId="7" borderId="32" applyNumberFormat="0" applyAlignment="0" applyProtection="0"/>
    <xf numFmtId="0" fontId="25" fillId="20" borderId="31" applyNumberFormat="0" applyAlignment="0" applyProtection="0"/>
    <xf numFmtId="0" fontId="27" fillId="0" borderId="33" applyNumberFormat="0" applyFill="0" applyAlignment="0" applyProtection="0"/>
    <xf numFmtId="0" fontId="11" fillId="23" borderId="35" applyNumberFormat="0" applyFont="0" applyAlignment="0" applyProtection="0"/>
    <xf numFmtId="0" fontId="11" fillId="23" borderId="35" applyNumberFormat="0" applyFont="0" applyAlignment="0" applyProtection="0"/>
    <xf numFmtId="0" fontId="25" fillId="20" borderId="36" applyNumberFormat="0" applyAlignment="0" applyProtection="0"/>
    <xf numFmtId="0" fontId="11" fillId="23" borderId="35" applyNumberFormat="0" applyFont="0" applyAlignment="0" applyProtection="0"/>
    <xf numFmtId="0" fontId="22" fillId="7" borderId="37" applyNumberFormat="0" applyAlignment="0" applyProtection="0"/>
    <xf numFmtId="0" fontId="52" fillId="0" borderId="0" applyNumberFormat="0" applyFill="0" applyBorder="0" applyAlignment="0" applyProtection="0"/>
    <xf numFmtId="0" fontId="11" fillId="23" borderId="40" applyNumberFormat="0" applyFont="0" applyAlignment="0" applyProtection="0"/>
    <xf numFmtId="0" fontId="11" fillId="23" borderId="40" applyNumberFormat="0" applyFont="0" applyAlignment="0" applyProtection="0"/>
    <xf numFmtId="0" fontId="11" fillId="23" borderId="40" applyNumberFormat="0" applyFont="0" applyAlignment="0" applyProtection="0"/>
    <xf numFmtId="0" fontId="3" fillId="0" borderId="0"/>
    <xf numFmtId="0" fontId="2" fillId="0" borderId="0"/>
    <xf numFmtId="0" fontId="11" fillId="23" borderId="40" applyNumberFormat="0" applyFont="0" applyAlignment="0" applyProtection="0"/>
    <xf numFmtId="0" fontId="1" fillId="0" borderId="0"/>
  </cellStyleXfs>
  <cellXfs count="365">
    <xf numFmtId="0" fontId="0" fillId="0" borderId="0" xfId="0"/>
    <xf numFmtId="0" fontId="31" fillId="0" borderId="0" xfId="0" applyFont="1" applyAlignment="1">
      <alignment vertical="top"/>
    </xf>
    <xf numFmtId="0" fontId="34" fillId="0" borderId="0" xfId="0" applyFont="1" applyAlignment="1">
      <alignment vertical="center"/>
    </xf>
    <xf numFmtId="0" fontId="33" fillId="0" borderId="0" xfId="0" applyFont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2" fontId="31" fillId="0" borderId="0" xfId="0" applyNumberFormat="1" applyFont="1" applyAlignment="1">
      <alignment horizontal="center" vertical="center" wrapText="1"/>
    </xf>
    <xf numFmtId="2" fontId="31" fillId="0" borderId="0" xfId="0" applyNumberFormat="1" applyFont="1" applyAlignment="1">
      <alignment vertical="center" wrapText="1"/>
    </xf>
    <xf numFmtId="0" fontId="31" fillId="0" borderId="0" xfId="45" applyFont="1" applyAlignment="1">
      <alignment vertical="center"/>
    </xf>
    <xf numFmtId="0" fontId="31" fillId="0" borderId="11" xfId="0" applyFont="1" applyBorder="1" applyAlignment="1">
      <alignment horizontal="center" vertical="center"/>
    </xf>
    <xf numFmtId="9" fontId="31" fillId="0" borderId="11" xfId="62" applyFont="1" applyFill="1" applyBorder="1" applyAlignment="1">
      <alignment horizontal="center" vertical="center"/>
    </xf>
    <xf numFmtId="0" fontId="35" fillId="0" borderId="11" xfId="39" applyFont="1" applyFill="1" applyBorder="1" applyAlignment="1">
      <alignment vertical="center" wrapText="1"/>
    </xf>
    <xf numFmtId="0" fontId="51" fillId="0" borderId="11" xfId="0" applyFont="1" applyBorder="1" applyAlignment="1">
      <alignment vertical="center" wrapText="1"/>
    </xf>
    <xf numFmtId="0" fontId="54" fillId="0" borderId="0" xfId="0" applyFont="1" applyAlignment="1">
      <alignment vertical="top"/>
    </xf>
    <xf numFmtId="170" fontId="31" fillId="0" borderId="0" xfId="45" applyNumberFormat="1" applyFont="1" applyAlignment="1">
      <alignment vertical="center"/>
    </xf>
    <xf numFmtId="9" fontId="31" fillId="0" borderId="0" xfId="62" applyFont="1" applyAlignment="1">
      <alignment vertical="center"/>
    </xf>
    <xf numFmtId="0" fontId="56" fillId="0" borderId="0" xfId="0" applyFont="1"/>
    <xf numFmtId="0" fontId="55" fillId="0" borderId="0" xfId="0" applyFont="1" applyAlignment="1">
      <alignment horizontal="center"/>
    </xf>
    <xf numFmtId="0" fontId="55" fillId="0" borderId="0" xfId="0" applyFont="1"/>
    <xf numFmtId="9" fontId="56" fillId="0" borderId="0" xfId="0" applyNumberFormat="1" applyFont="1"/>
    <xf numFmtId="175" fontId="56" fillId="0" borderId="0" xfId="0" applyNumberFormat="1" applyFont="1"/>
    <xf numFmtId="0" fontId="1" fillId="0" borderId="0" xfId="99"/>
    <xf numFmtId="0" fontId="1" fillId="0" borderId="0" xfId="99" applyAlignment="1">
      <alignment horizontal="center"/>
    </xf>
    <xf numFmtId="166" fontId="56" fillId="0" borderId="0" xfId="61" applyFont="1"/>
    <xf numFmtId="169" fontId="49" fillId="24" borderId="10" xfId="61" applyNumberFormat="1" applyFont="1" applyFill="1" applyBorder="1" applyAlignment="1">
      <alignment horizontal="left" vertical="center" wrapText="1"/>
    </xf>
    <xf numFmtId="169" fontId="49" fillId="24" borderId="16" xfId="61" applyNumberFormat="1" applyFont="1" applyFill="1" applyBorder="1" applyAlignment="1">
      <alignment horizontal="left" vertical="center" wrapText="1"/>
    </xf>
    <xf numFmtId="169" fontId="49" fillId="24" borderId="27" xfId="61" applyNumberFormat="1" applyFont="1" applyFill="1" applyBorder="1" applyAlignment="1">
      <alignment horizontal="left" vertical="center" wrapText="1"/>
    </xf>
    <xf numFmtId="173" fontId="46" fillId="29" borderId="15" xfId="63" applyNumberFormat="1" applyFont="1" applyFill="1" applyBorder="1" applyAlignment="1">
      <alignment horizontal="center" vertical="center"/>
    </xf>
    <xf numFmtId="173" fontId="46" fillId="29" borderId="39" xfId="63" applyNumberFormat="1" applyFont="1" applyFill="1" applyBorder="1" applyAlignment="1">
      <alignment horizontal="center" vertical="center"/>
    </xf>
    <xf numFmtId="173" fontId="46" fillId="29" borderId="39" xfId="63" applyNumberFormat="1" applyFont="1" applyFill="1" applyBorder="1" applyAlignment="1">
      <alignment horizontal="left" vertical="center"/>
    </xf>
    <xf numFmtId="2" fontId="38" fillId="29" borderId="26" xfId="0" applyNumberFormat="1" applyFont="1" applyFill="1" applyBorder="1" applyAlignment="1">
      <alignment horizontal="right" vertical="center"/>
    </xf>
    <xf numFmtId="175" fontId="50" fillId="29" borderId="26" xfId="62" applyNumberFormat="1" applyFont="1" applyFill="1" applyBorder="1" applyAlignment="1">
      <alignment horizontal="center" vertical="center"/>
    </xf>
    <xf numFmtId="2" fontId="31" fillId="29" borderId="43" xfId="0" applyNumberFormat="1" applyFont="1" applyFill="1" applyBorder="1" applyAlignment="1">
      <alignment horizontal="center" vertical="center" wrapText="1"/>
    </xf>
    <xf numFmtId="0" fontId="36" fillId="29" borderId="44" xfId="34" applyFont="1" applyFill="1" applyBorder="1" applyAlignment="1" applyProtection="1">
      <alignment horizontal="right"/>
    </xf>
    <xf numFmtId="9" fontId="43" fillId="29" borderId="45" xfId="62" applyFont="1" applyFill="1" applyBorder="1" applyAlignment="1">
      <alignment horizontal="center" vertical="center"/>
    </xf>
    <xf numFmtId="2" fontId="31" fillId="29" borderId="16" xfId="0" applyNumberFormat="1" applyFont="1" applyFill="1" applyBorder="1" applyAlignment="1">
      <alignment horizontal="center" vertical="center" wrapText="1"/>
    </xf>
    <xf numFmtId="0" fontId="36" fillId="29" borderId="15" xfId="34" applyFont="1" applyFill="1" applyBorder="1" applyAlignment="1" applyProtection="1">
      <alignment horizontal="right"/>
    </xf>
    <xf numFmtId="9" fontId="43" fillId="29" borderId="34" xfId="62" applyFont="1" applyFill="1" applyBorder="1" applyAlignment="1">
      <alignment horizontal="center" vertical="center"/>
    </xf>
    <xf numFmtId="0" fontId="60" fillId="0" borderId="0" xfId="0" applyFont="1"/>
    <xf numFmtId="0" fontId="65" fillId="24" borderId="22" xfId="41" applyFont="1" applyFill="1" applyBorder="1" applyAlignment="1">
      <alignment horizontal="center" vertical="center"/>
    </xf>
    <xf numFmtId="0" fontId="65" fillId="0" borderId="22" xfId="41" applyFont="1" applyFill="1" applyBorder="1" applyAlignment="1">
      <alignment vertical="center"/>
    </xf>
    <xf numFmtId="168" fontId="65" fillId="24" borderId="22" xfId="41" applyNumberFormat="1" applyFont="1" applyFill="1" applyBorder="1" applyAlignment="1" applyProtection="1">
      <alignment horizontal="center" vertical="center"/>
    </xf>
    <xf numFmtId="0" fontId="65" fillId="24" borderId="33" xfId="41" applyFont="1" applyFill="1" applyBorder="1" applyAlignment="1">
      <alignment horizontal="center" vertical="center"/>
    </xf>
    <xf numFmtId="0" fontId="65" fillId="24" borderId="33" xfId="41" applyFont="1" applyFill="1" applyBorder="1" applyAlignment="1">
      <alignment horizontal="left" vertical="center"/>
    </xf>
    <xf numFmtId="0" fontId="65" fillId="0" borderId="33" xfId="41" applyFont="1" applyFill="1" applyBorder="1" applyAlignment="1">
      <alignment vertical="center"/>
    </xf>
    <xf numFmtId="168" fontId="65" fillId="24" borderId="33" xfId="41" applyNumberFormat="1" applyFont="1" applyFill="1" applyBorder="1" applyAlignment="1" applyProtection="1">
      <alignment horizontal="center" vertical="center"/>
    </xf>
    <xf numFmtId="175" fontId="65" fillId="0" borderId="33" xfId="41" applyNumberFormat="1" applyFont="1" applyFill="1" applyBorder="1" applyAlignment="1">
      <alignment horizontal="center" vertical="center"/>
    </xf>
    <xf numFmtId="169" fontId="65" fillId="24" borderId="33" xfId="41" applyNumberFormat="1" applyFont="1" applyFill="1" applyBorder="1" applyAlignment="1">
      <alignment horizontal="left" vertical="center"/>
    </xf>
    <xf numFmtId="0" fontId="65" fillId="24" borderId="17" xfId="41" applyFont="1" applyFill="1" applyBorder="1" applyAlignment="1">
      <alignment vertical="center"/>
    </xf>
    <xf numFmtId="9" fontId="65" fillId="0" borderId="33" xfId="41" applyNumberFormat="1" applyFont="1" applyFill="1" applyBorder="1" applyAlignment="1">
      <alignment horizontal="center" vertical="center"/>
    </xf>
    <xf numFmtId="0" fontId="36" fillId="30" borderId="11" xfId="0" applyFont="1" applyFill="1" applyBorder="1" applyAlignment="1">
      <alignment horizontal="center" vertical="center" wrapText="1"/>
    </xf>
    <xf numFmtId="1" fontId="31" fillId="33" borderId="41" xfId="38" applyNumberFormat="1" applyFont="1" applyFill="1" applyBorder="1" applyAlignment="1">
      <alignment horizontal="center" vertical="center"/>
    </xf>
    <xf numFmtId="173" fontId="31" fillId="34" borderId="40" xfId="63" applyNumberFormat="1" applyFont="1" applyFill="1" applyBorder="1" applyAlignment="1">
      <alignment horizontal="center" vertical="center"/>
    </xf>
    <xf numFmtId="9" fontId="31" fillId="34" borderId="40" xfId="62" applyFont="1" applyFill="1" applyBorder="1" applyAlignment="1">
      <alignment horizontal="right" vertical="center"/>
    </xf>
    <xf numFmtId="173" fontId="31" fillId="34" borderId="40" xfId="63" applyNumberFormat="1" applyFont="1" applyFill="1" applyBorder="1" applyAlignment="1">
      <alignment horizontal="right" vertical="center"/>
    </xf>
    <xf numFmtId="173" fontId="32" fillId="34" borderId="11" xfId="63" applyNumberFormat="1" applyFont="1" applyFill="1" applyBorder="1" applyAlignment="1">
      <alignment horizontal="center" vertical="center" wrapText="1"/>
    </xf>
    <xf numFmtId="0" fontId="32" fillId="33" borderId="11" xfId="38" applyNumberFormat="1" applyFont="1" applyFill="1" applyBorder="1" applyAlignment="1">
      <alignment horizontal="center" vertical="center" wrapText="1"/>
    </xf>
    <xf numFmtId="0" fontId="31" fillId="34" borderId="40" xfId="64" applyFont="1" applyFill="1" applyBorder="1" applyAlignment="1">
      <alignment horizontal="center" vertical="center"/>
    </xf>
    <xf numFmtId="0" fontId="31" fillId="34" borderId="40" xfId="38" applyFont="1" applyFill="1" applyBorder="1" applyAlignment="1">
      <alignment horizontal="center" vertical="center"/>
    </xf>
    <xf numFmtId="171" fontId="31" fillId="34" borderId="40" xfId="38" applyNumberFormat="1" applyFont="1" applyFill="1" applyBorder="1" applyAlignment="1">
      <alignment horizontal="right" vertical="center"/>
    </xf>
    <xf numFmtId="171" fontId="31" fillId="34" borderId="40" xfId="38" applyNumberFormat="1" applyFont="1" applyFill="1" applyBorder="1" applyAlignment="1">
      <alignment vertical="center"/>
    </xf>
    <xf numFmtId="167" fontId="31" fillId="34" borderId="40" xfId="38" applyNumberFormat="1" applyFont="1" applyFill="1" applyBorder="1" applyAlignment="1">
      <alignment horizontal="center" vertical="center"/>
    </xf>
    <xf numFmtId="171" fontId="31" fillId="33" borderId="40" xfId="38" applyNumberFormat="1" applyFont="1" applyFill="1" applyBorder="1" applyAlignment="1">
      <alignment horizontal="right" vertical="center"/>
    </xf>
    <xf numFmtId="170" fontId="31" fillId="36" borderId="40" xfId="38" applyNumberFormat="1" applyFont="1" applyFill="1" applyBorder="1" applyAlignment="1" applyProtection="1">
      <alignment horizontal="left" vertical="center"/>
    </xf>
    <xf numFmtId="1" fontId="31" fillId="33" borderId="49" xfId="38" applyNumberFormat="1" applyFont="1" applyFill="1" applyBorder="1" applyAlignment="1">
      <alignment horizontal="center" vertical="center"/>
    </xf>
    <xf numFmtId="177" fontId="66" fillId="32" borderId="11" xfId="38" applyNumberFormat="1" applyFont="1" applyFill="1" applyBorder="1" applyAlignment="1">
      <alignment vertical="center"/>
    </xf>
    <xf numFmtId="166" fontId="31" fillId="36" borderId="11" xfId="61" applyFont="1" applyFill="1" applyBorder="1" applyAlignment="1" applyProtection="1">
      <alignment horizontal="left" vertical="center"/>
    </xf>
    <xf numFmtId="177" fontId="66" fillId="32" borderId="11" xfId="38" applyNumberFormat="1" applyFont="1" applyFill="1" applyBorder="1" applyAlignment="1">
      <alignment horizontal="center" vertical="center"/>
    </xf>
    <xf numFmtId="178" fontId="56" fillId="0" borderId="0" xfId="0" applyNumberFormat="1" applyFont="1"/>
    <xf numFmtId="1" fontId="31" fillId="33" borderId="51" xfId="38" applyNumberFormat="1" applyFont="1" applyFill="1" applyBorder="1" applyAlignment="1">
      <alignment horizontal="center" vertical="center"/>
    </xf>
    <xf numFmtId="173" fontId="31" fillId="34" borderId="52" xfId="63" applyNumberFormat="1" applyFont="1" applyFill="1" applyBorder="1" applyAlignment="1">
      <alignment horizontal="center" vertical="center"/>
    </xf>
    <xf numFmtId="9" fontId="31" fillId="34" borderId="52" xfId="62" applyFont="1" applyFill="1" applyBorder="1" applyAlignment="1">
      <alignment horizontal="right" vertical="center"/>
    </xf>
    <xf numFmtId="173" fontId="31" fillId="34" borderId="52" xfId="63" applyNumberFormat="1" applyFont="1" applyFill="1" applyBorder="1" applyAlignment="1">
      <alignment horizontal="right" vertical="center"/>
    </xf>
    <xf numFmtId="167" fontId="31" fillId="34" borderId="52" xfId="38" applyNumberFormat="1" applyFont="1" applyFill="1" applyBorder="1" applyAlignment="1">
      <alignment horizontal="center" vertical="center"/>
    </xf>
    <xf numFmtId="171" fontId="31" fillId="34" borderId="52" xfId="38" applyNumberFormat="1" applyFont="1" applyFill="1" applyBorder="1" applyAlignment="1">
      <alignment horizontal="right" vertical="center"/>
    </xf>
    <xf numFmtId="171" fontId="31" fillId="33" borderId="52" xfId="38" applyNumberFormat="1" applyFont="1" applyFill="1" applyBorder="1" applyAlignment="1">
      <alignment horizontal="right" vertical="center"/>
    </xf>
    <xf numFmtId="170" fontId="31" fillId="36" borderId="52" xfId="38" applyNumberFormat="1" applyFont="1" applyFill="1" applyBorder="1" applyAlignment="1" applyProtection="1">
      <alignment horizontal="left" vertical="center"/>
    </xf>
    <xf numFmtId="174" fontId="31" fillId="34" borderId="52" xfId="94" applyNumberFormat="1" applyFont="1" applyFill="1" applyBorder="1" applyAlignment="1">
      <alignment horizontal="center" vertical="center"/>
    </xf>
    <xf numFmtId="175" fontId="65" fillId="0" borderId="22" xfId="41" applyNumberFormat="1" applyFont="1" applyFill="1" applyBorder="1" applyAlignment="1">
      <alignment horizontal="center" vertical="center"/>
    </xf>
    <xf numFmtId="169" fontId="65" fillId="24" borderId="22" xfId="41" applyNumberFormat="1" applyFont="1" applyFill="1" applyBorder="1" applyAlignment="1">
      <alignment horizontal="left" vertical="center"/>
    </xf>
    <xf numFmtId="0" fontId="63" fillId="29" borderId="11" xfId="0" applyFont="1" applyFill="1" applyBorder="1" applyAlignment="1">
      <alignment horizontal="right"/>
    </xf>
    <xf numFmtId="0" fontId="31" fillId="0" borderId="0" xfId="0" applyFont="1"/>
    <xf numFmtId="0" fontId="70" fillId="0" borderId="0" xfId="0" applyFont="1"/>
    <xf numFmtId="0" fontId="72" fillId="0" borderId="0" xfId="0" applyFont="1"/>
    <xf numFmtId="167" fontId="54" fillId="0" borderId="0" xfId="63" applyFont="1" applyBorder="1" applyAlignment="1"/>
    <xf numFmtId="0" fontId="80" fillId="0" borderId="0" xfId="0" applyFont="1"/>
    <xf numFmtId="173" fontId="53" fillId="0" borderId="0" xfId="63" applyNumberFormat="1" applyFont="1" applyBorder="1"/>
    <xf numFmtId="0" fontId="31" fillId="24" borderId="10" xfId="0" applyFont="1" applyFill="1" applyBorder="1" applyAlignment="1">
      <alignment vertical="top"/>
    </xf>
    <xf numFmtId="2" fontId="32" fillId="24" borderId="12" xfId="0" applyNumberFormat="1" applyFont="1" applyFill="1" applyBorder="1" applyAlignment="1">
      <alignment vertical="center" wrapText="1"/>
    </xf>
    <xf numFmtId="2" fontId="31" fillId="24" borderId="12" xfId="0" applyNumberFormat="1" applyFont="1" applyFill="1" applyBorder="1" applyAlignment="1">
      <alignment vertical="center" wrapText="1"/>
    </xf>
    <xf numFmtId="172" fontId="63" fillId="29" borderId="11" xfId="0" applyNumberFormat="1" applyFont="1" applyFill="1" applyBorder="1"/>
    <xf numFmtId="0" fontId="64" fillId="0" borderId="0" xfId="0" applyFont="1" applyAlignment="1">
      <alignment vertical="top"/>
    </xf>
    <xf numFmtId="0" fontId="70" fillId="24" borderId="10" xfId="0" applyFont="1" applyFill="1" applyBorder="1" applyAlignment="1">
      <alignment vertical="center" wrapText="1"/>
    </xf>
    <xf numFmtId="169" fontId="45" fillId="24" borderId="0" xfId="75" applyNumberFormat="1" applyFont="1" applyFill="1" applyBorder="1" applyAlignment="1">
      <alignment vertical="center"/>
    </xf>
    <xf numFmtId="169" fontId="82" fillId="24" borderId="0" xfId="75" applyNumberFormat="1" applyFont="1" applyFill="1" applyBorder="1" applyAlignment="1">
      <alignment vertical="center"/>
    </xf>
    <xf numFmtId="0" fontId="31" fillId="24" borderId="10" xfId="0" applyFont="1" applyFill="1" applyBorder="1" applyAlignment="1">
      <alignment horizontal="center" vertical="center"/>
    </xf>
    <xf numFmtId="2" fontId="31" fillId="24" borderId="34" xfId="0" applyNumberFormat="1" applyFont="1" applyFill="1" applyBorder="1" applyAlignment="1">
      <alignment vertical="center" wrapText="1"/>
    </xf>
    <xf numFmtId="2" fontId="31" fillId="0" borderId="0" xfId="0" applyNumberFormat="1" applyFont="1" applyAlignment="1">
      <alignment vertical="top" wrapText="1"/>
    </xf>
    <xf numFmtId="168" fontId="31" fillId="0" borderId="0" xfId="0" applyNumberFormat="1" applyFont="1" applyAlignment="1">
      <alignment vertical="center"/>
    </xf>
    <xf numFmtId="0" fontId="84" fillId="35" borderId="11" xfId="0" applyFont="1" applyFill="1" applyBorder="1" applyAlignment="1">
      <alignment horizontal="center" vertical="center" wrapText="1"/>
    </xf>
    <xf numFmtId="0" fontId="85" fillId="35" borderId="47" xfId="0" applyFont="1" applyFill="1" applyBorder="1" applyAlignment="1">
      <alignment horizontal="center" vertical="center"/>
    </xf>
    <xf numFmtId="0" fontId="40" fillId="35" borderId="50" xfId="0" applyFont="1" applyFill="1" applyBorder="1" applyAlignment="1">
      <alignment horizontal="center" vertical="center"/>
    </xf>
    <xf numFmtId="0" fontId="40" fillId="35" borderId="53" xfId="0" applyFont="1" applyFill="1" applyBorder="1" applyAlignment="1">
      <alignment horizontal="center" vertical="center"/>
    </xf>
    <xf numFmtId="0" fontId="85" fillId="35" borderId="54" xfId="0" applyFont="1" applyFill="1" applyBorder="1" applyAlignment="1">
      <alignment horizontal="center" vertical="center"/>
    </xf>
    <xf numFmtId="0" fontId="31" fillId="33" borderId="0" xfId="64" applyFont="1" applyFill="1" applyBorder="1" applyAlignment="1">
      <alignment horizontal="justify" vertical="center" wrapText="1"/>
    </xf>
    <xf numFmtId="167" fontId="53" fillId="0" borderId="0" xfId="63" applyFont="1" applyBorder="1" applyAlignment="1"/>
    <xf numFmtId="0" fontId="65" fillId="24" borderId="22" xfId="41" applyFont="1" applyFill="1" applyBorder="1" applyAlignment="1">
      <alignment horizontal="left" vertical="center"/>
    </xf>
    <xf numFmtId="166" fontId="31" fillId="36" borderId="11" xfId="78" applyFont="1" applyFill="1" applyBorder="1" applyAlignment="1" applyProtection="1">
      <alignment horizontal="left" vertical="center"/>
    </xf>
    <xf numFmtId="166" fontId="31" fillId="37" borderId="11" xfId="78" applyFont="1" applyFill="1" applyBorder="1" applyAlignment="1" applyProtection="1">
      <alignment horizontal="left" vertical="center"/>
    </xf>
    <xf numFmtId="173" fontId="32" fillId="34" borderId="40" xfId="63" applyNumberFormat="1" applyFont="1" applyFill="1" applyBorder="1" applyAlignment="1">
      <alignment horizontal="center" vertical="center"/>
    </xf>
    <xf numFmtId="1" fontId="31" fillId="33" borderId="41" xfId="93" applyNumberFormat="1" applyFont="1" applyFill="1" applyBorder="1" applyAlignment="1">
      <alignment horizontal="center" vertical="center"/>
    </xf>
    <xf numFmtId="1" fontId="31" fillId="33" borderId="49" xfId="93" applyNumberFormat="1" applyFont="1" applyFill="1" applyBorder="1" applyAlignment="1">
      <alignment horizontal="center" vertical="center"/>
    </xf>
    <xf numFmtId="0" fontId="31" fillId="33" borderId="0" xfId="94" applyFont="1" applyFill="1" applyBorder="1" applyAlignment="1">
      <alignment horizontal="justify" vertical="center" wrapText="1"/>
    </xf>
    <xf numFmtId="173" fontId="31" fillId="34" borderId="40" xfId="48" applyNumberFormat="1" applyFont="1" applyFill="1" applyBorder="1" applyAlignment="1">
      <alignment horizontal="center" vertical="center"/>
    </xf>
    <xf numFmtId="9" fontId="31" fillId="34" borderId="40" xfId="79" applyFont="1" applyFill="1" applyBorder="1" applyAlignment="1">
      <alignment horizontal="right" vertical="center"/>
    </xf>
    <xf numFmtId="173" fontId="31" fillId="34" borderId="40" xfId="48" applyNumberFormat="1" applyFont="1" applyFill="1" applyBorder="1" applyAlignment="1">
      <alignment horizontal="right" vertical="center"/>
    </xf>
    <xf numFmtId="176" fontId="50" fillId="29" borderId="0" xfId="79" applyNumberFormat="1" applyFont="1" applyFill="1" applyBorder="1" applyAlignment="1">
      <alignment horizontal="center" vertical="center"/>
    </xf>
    <xf numFmtId="9" fontId="50" fillId="29" borderId="0" xfId="79" applyFont="1" applyFill="1" applyBorder="1" applyAlignment="1">
      <alignment horizontal="center" vertical="center"/>
    </xf>
    <xf numFmtId="9" fontId="50" fillId="29" borderId="15" xfId="79" applyFont="1" applyFill="1" applyBorder="1" applyAlignment="1">
      <alignment horizontal="center" vertical="center"/>
    </xf>
    <xf numFmtId="166" fontId="31" fillId="41" borderId="11" xfId="78" applyFont="1" applyFill="1" applyBorder="1" applyAlignment="1" applyProtection="1">
      <alignment horizontal="left" vertical="center"/>
    </xf>
    <xf numFmtId="2" fontId="31" fillId="24" borderId="0" xfId="0" applyNumberFormat="1" applyFont="1" applyFill="1" applyAlignment="1">
      <alignment vertical="center" wrapText="1"/>
    </xf>
    <xf numFmtId="0" fontId="31" fillId="24" borderId="0" xfId="0" applyFont="1" applyFill="1" applyAlignment="1">
      <alignment vertical="top"/>
    </xf>
    <xf numFmtId="2" fontId="31" fillId="24" borderId="0" xfId="0" applyNumberFormat="1" applyFont="1" applyFill="1" applyAlignment="1">
      <alignment horizontal="center" vertical="center" wrapText="1"/>
    </xf>
    <xf numFmtId="166" fontId="38" fillId="28" borderId="11" xfId="78" applyFont="1" applyFill="1" applyBorder="1" applyAlignment="1">
      <alignment horizontal="center" vertical="center" wrapText="1"/>
    </xf>
    <xf numFmtId="169" fontId="38" fillId="25" borderId="11" xfId="78" applyNumberFormat="1" applyFont="1" applyFill="1" applyBorder="1" applyAlignment="1">
      <alignment horizontal="center" vertical="center" wrapText="1"/>
    </xf>
    <xf numFmtId="166" fontId="32" fillId="28" borderId="11" xfId="78" applyFont="1" applyFill="1" applyBorder="1" applyAlignment="1">
      <alignment vertical="center" wrapText="1"/>
    </xf>
    <xf numFmtId="169" fontId="32" fillId="25" borderId="11" xfId="78" applyNumberFormat="1" applyFont="1" applyFill="1" applyBorder="1" applyAlignment="1">
      <alignment vertical="center" wrapText="1"/>
    </xf>
    <xf numFmtId="166" fontId="53" fillId="28" borderId="11" xfId="78" applyFont="1" applyFill="1" applyBorder="1" applyAlignment="1">
      <alignment horizontal="right" vertical="center" wrapText="1"/>
    </xf>
    <xf numFmtId="175" fontId="53" fillId="25" borderId="11" xfId="62" applyNumberFormat="1" applyFont="1" applyFill="1" applyBorder="1" applyAlignment="1">
      <alignment horizontal="left" vertical="center" wrapText="1"/>
    </xf>
    <xf numFmtId="175" fontId="53" fillId="25" borderId="11" xfId="79" applyNumberFormat="1" applyFont="1" applyFill="1" applyBorder="1" applyAlignment="1">
      <alignment horizontal="left" vertical="center" wrapText="1"/>
    </xf>
    <xf numFmtId="166" fontId="87" fillId="28" borderId="11" xfId="78" applyFont="1" applyFill="1" applyBorder="1" applyAlignment="1">
      <alignment vertical="center"/>
    </xf>
    <xf numFmtId="169" fontId="32" fillId="25" borderId="11" xfId="78" applyNumberFormat="1" applyFont="1" applyFill="1" applyBorder="1" applyAlignment="1">
      <alignment vertical="center"/>
    </xf>
    <xf numFmtId="166" fontId="32" fillId="28" borderId="11" xfId="78" applyFont="1" applyFill="1" applyBorder="1" applyAlignment="1">
      <alignment vertical="center"/>
    </xf>
    <xf numFmtId="0" fontId="31" fillId="0" borderId="11" xfId="0" applyFont="1" applyBorder="1" applyAlignment="1">
      <alignment vertical="top"/>
    </xf>
    <xf numFmtId="169" fontId="32" fillId="25" borderId="11" xfId="78" applyNumberFormat="1" applyFont="1" applyFill="1" applyBorder="1" applyAlignment="1">
      <alignment vertical="top"/>
    </xf>
    <xf numFmtId="14" fontId="62" fillId="24" borderId="0" xfId="0" applyNumberFormat="1" applyFont="1" applyFill="1" applyAlignment="1">
      <alignment horizontal="left" vertical="center"/>
    </xf>
    <xf numFmtId="0" fontId="31" fillId="24" borderId="12" xfId="0" applyFont="1" applyFill="1" applyBorder="1" applyAlignment="1">
      <alignment vertical="top"/>
    </xf>
    <xf numFmtId="2" fontId="49" fillId="29" borderId="0" xfId="0" applyNumberFormat="1" applyFont="1" applyFill="1" applyAlignment="1">
      <alignment horizontal="right" vertical="center"/>
    </xf>
    <xf numFmtId="2" fontId="31" fillId="29" borderId="0" xfId="0" applyNumberFormat="1" applyFont="1" applyFill="1" applyAlignment="1">
      <alignment horizontal="center" vertical="center" wrapText="1"/>
    </xf>
    <xf numFmtId="0" fontId="63" fillId="29" borderId="0" xfId="0" applyFont="1" applyFill="1" applyAlignment="1">
      <alignment horizontal="right"/>
    </xf>
    <xf numFmtId="172" fontId="62" fillId="29" borderId="0" xfId="0" applyNumberFormat="1" applyFont="1" applyFill="1"/>
    <xf numFmtId="0" fontId="31" fillId="29" borderId="0" xfId="0" applyFont="1" applyFill="1" applyAlignment="1">
      <alignment horizontal="center" vertical="center"/>
    </xf>
    <xf numFmtId="2" fontId="31" fillId="29" borderId="0" xfId="0" applyNumberFormat="1" applyFont="1" applyFill="1" applyAlignment="1">
      <alignment vertical="center" wrapText="1"/>
    </xf>
    <xf numFmtId="172" fontId="45" fillId="29" borderId="0" xfId="0" applyNumberFormat="1" applyFont="1" applyFill="1"/>
    <xf numFmtId="2" fontId="46" fillId="29" borderId="0" xfId="0" applyNumberFormat="1" applyFont="1" applyFill="1" applyAlignment="1">
      <alignment horizontal="right"/>
    </xf>
    <xf numFmtId="0" fontId="46" fillId="29" borderId="0" xfId="0" applyFont="1" applyFill="1" applyAlignment="1">
      <alignment horizontal="right"/>
    </xf>
    <xf numFmtId="2" fontId="32" fillId="24" borderId="0" xfId="0" applyNumberFormat="1" applyFont="1" applyFill="1" applyAlignment="1">
      <alignment vertical="center"/>
    </xf>
    <xf numFmtId="0" fontId="63" fillId="24" borderId="0" xfId="0" applyFont="1" applyFill="1" applyAlignment="1">
      <alignment horizontal="center" vertical="center"/>
    </xf>
    <xf numFmtId="0" fontId="31" fillId="24" borderId="0" xfId="0" applyFont="1" applyFill="1" applyAlignment="1">
      <alignment horizontal="center" vertical="center"/>
    </xf>
    <xf numFmtId="2" fontId="31" fillId="24" borderId="12" xfId="0" applyNumberFormat="1" applyFont="1" applyFill="1" applyBorder="1" applyAlignment="1">
      <alignment horizontal="center" vertical="center" wrapText="1"/>
    </xf>
    <xf numFmtId="1" fontId="31" fillId="0" borderId="41" xfId="38" applyNumberFormat="1" applyFont="1" applyFill="1" applyBorder="1" applyAlignment="1">
      <alignment horizontal="center" vertical="center"/>
    </xf>
    <xf numFmtId="165" fontId="31" fillId="0" borderId="58" xfId="45" applyNumberFormat="1" applyFont="1" applyBorder="1" applyAlignment="1">
      <alignment vertical="center"/>
    </xf>
    <xf numFmtId="165" fontId="31" fillId="0" borderId="59" xfId="45" applyNumberFormat="1" applyFont="1" applyBorder="1" applyAlignment="1">
      <alignment vertical="center"/>
    </xf>
    <xf numFmtId="1" fontId="31" fillId="24" borderId="41" xfId="38" applyNumberFormat="1" applyFont="1" applyFill="1" applyBorder="1" applyAlignment="1">
      <alignment horizontal="center" vertical="center"/>
    </xf>
    <xf numFmtId="174" fontId="31" fillId="34" borderId="40" xfId="94" applyNumberFormat="1" applyFont="1" applyFill="1" applyAlignment="1">
      <alignment horizontal="center" vertical="center"/>
    </xf>
    <xf numFmtId="1" fontId="31" fillId="24" borderId="41" xfId="64" applyNumberFormat="1" applyFont="1" applyFill="1" applyBorder="1" applyAlignment="1">
      <alignment horizontal="center" vertical="center"/>
    </xf>
    <xf numFmtId="165" fontId="31" fillId="0" borderId="12" xfId="45" applyNumberFormat="1" applyFont="1" applyBorder="1" applyAlignment="1">
      <alignment vertical="center"/>
    </xf>
    <xf numFmtId="167" fontId="31" fillId="34" borderId="40" xfId="93" applyNumberFormat="1" applyFont="1" applyFill="1" applyAlignment="1">
      <alignment horizontal="center" vertical="center"/>
    </xf>
    <xf numFmtId="171" fontId="31" fillId="34" borderId="40" xfId="93" applyNumberFormat="1" applyFont="1" applyFill="1" applyAlignment="1">
      <alignment horizontal="right" vertical="center"/>
    </xf>
    <xf numFmtId="171" fontId="31" fillId="33" borderId="40" xfId="93" applyNumberFormat="1" applyFont="1" applyFill="1" applyAlignment="1">
      <alignment horizontal="right" vertical="center"/>
    </xf>
    <xf numFmtId="170" fontId="31" fillId="36" borderId="40" xfId="93" applyNumberFormat="1" applyFont="1" applyFill="1" applyAlignment="1" applyProtection="1">
      <alignment horizontal="left" vertical="center"/>
    </xf>
    <xf numFmtId="169" fontId="65" fillId="24" borderId="62" xfId="41" applyNumberFormat="1" applyFont="1" applyFill="1" applyBorder="1" applyAlignment="1">
      <alignment vertical="center"/>
    </xf>
    <xf numFmtId="0" fontId="65" fillId="24" borderId="63" xfId="41" applyFont="1" applyFill="1" applyBorder="1" applyAlignment="1">
      <alignment vertical="center"/>
    </xf>
    <xf numFmtId="169" fontId="65" fillId="24" borderId="64" xfId="41" applyNumberFormat="1" applyFont="1" applyFill="1" applyBorder="1" applyAlignment="1">
      <alignment vertical="center"/>
    </xf>
    <xf numFmtId="0" fontId="65" fillId="24" borderId="67" xfId="41" applyFont="1" applyFill="1" applyBorder="1" applyAlignment="1">
      <alignment horizontal="center" vertical="center"/>
    </xf>
    <xf numFmtId="0" fontId="65" fillId="24" borderId="67" xfId="41" applyFont="1" applyFill="1" applyBorder="1" applyAlignment="1">
      <alignment horizontal="left" vertical="center"/>
    </xf>
    <xf numFmtId="0" fontId="65" fillId="0" borderId="67" xfId="41" applyFont="1" applyFill="1" applyBorder="1" applyAlignment="1">
      <alignment vertical="center"/>
    </xf>
    <xf numFmtId="168" fontId="65" fillId="24" borderId="67" xfId="41" applyNumberFormat="1" applyFont="1" applyFill="1" applyBorder="1" applyAlignment="1" applyProtection="1">
      <alignment horizontal="center" vertical="center"/>
    </xf>
    <xf numFmtId="0" fontId="65" fillId="24" borderId="67" xfId="41" applyFont="1" applyFill="1" applyBorder="1" applyAlignment="1">
      <alignment vertical="center"/>
    </xf>
    <xf numFmtId="170" fontId="65" fillId="24" borderId="67" xfId="41" applyNumberFormat="1" applyFont="1" applyFill="1" applyBorder="1" applyAlignment="1">
      <alignment horizontal="left" vertical="center"/>
    </xf>
    <xf numFmtId="164" fontId="65" fillId="0" borderId="68" xfId="41" applyNumberFormat="1" applyFont="1" applyFill="1" applyBorder="1" applyAlignment="1">
      <alignment vertical="center"/>
    </xf>
    <xf numFmtId="0" fontId="36" fillId="30" borderId="48" xfId="0" applyFont="1" applyFill="1" applyBorder="1" applyAlignment="1">
      <alignment horizontal="center" vertical="center" wrapText="1"/>
    </xf>
    <xf numFmtId="0" fontId="31" fillId="33" borderId="69" xfId="38" applyNumberFormat="1" applyFont="1" applyFill="1" applyBorder="1" applyAlignment="1">
      <alignment vertical="center" wrapText="1"/>
    </xf>
    <xf numFmtId="0" fontId="57" fillId="7" borderId="70" xfId="84" applyFont="1" applyBorder="1" applyAlignment="1">
      <alignment horizontal="justify" vertical="center"/>
    </xf>
    <xf numFmtId="0" fontId="41" fillId="40" borderId="69" xfId="93" applyFont="1" applyFill="1" applyBorder="1" applyAlignment="1">
      <alignment horizontal="center" vertical="center"/>
    </xf>
    <xf numFmtId="0" fontId="41" fillId="26" borderId="69" xfId="93" applyFont="1" applyFill="1" applyBorder="1" applyAlignment="1">
      <alignment horizontal="center" vertical="center"/>
    </xf>
    <xf numFmtId="0" fontId="31" fillId="33" borderId="69" xfId="64" applyFont="1" applyFill="1" applyBorder="1" applyAlignment="1">
      <alignment horizontal="justify" vertical="center" wrapText="1"/>
    </xf>
    <xf numFmtId="0" fontId="31" fillId="33" borderId="69" xfId="94" applyFont="1" applyFill="1" applyBorder="1" applyAlignment="1">
      <alignment horizontal="justify" vertical="center" wrapText="1"/>
    </xf>
    <xf numFmtId="0" fontId="57" fillId="39" borderId="70" xfId="84" applyFont="1" applyFill="1" applyBorder="1" applyAlignment="1">
      <alignment horizontal="justify" vertical="center"/>
    </xf>
    <xf numFmtId="1" fontId="31" fillId="33" borderId="71" xfId="38" applyNumberFormat="1" applyFont="1" applyFill="1" applyBorder="1" applyAlignment="1">
      <alignment horizontal="center" vertical="center"/>
    </xf>
    <xf numFmtId="1" fontId="31" fillId="33" borderId="71" xfId="93" applyNumberFormat="1" applyFont="1" applyFill="1" applyBorder="1" applyAlignment="1">
      <alignment horizontal="center" vertical="center"/>
    </xf>
    <xf numFmtId="2" fontId="49" fillId="29" borderId="44" xfId="0" applyNumberFormat="1" applyFont="1" applyFill="1" applyBorder="1" applyAlignment="1">
      <alignment horizontal="right"/>
    </xf>
    <xf numFmtId="2" fontId="39" fillId="29" borderId="44" xfId="0" applyNumberFormat="1" applyFont="1" applyFill="1" applyBorder="1" applyAlignment="1">
      <alignment horizontal="right" vertical="center"/>
    </xf>
    <xf numFmtId="169" fontId="49" fillId="24" borderId="43" xfId="61" applyNumberFormat="1" applyFont="1" applyFill="1" applyBorder="1" applyAlignment="1">
      <alignment horizontal="left" vertical="center" wrapText="1"/>
    </xf>
    <xf numFmtId="2" fontId="31" fillId="24" borderId="45" xfId="0" applyNumberFormat="1" applyFont="1" applyFill="1" applyBorder="1" applyAlignment="1">
      <alignment vertical="center" wrapText="1"/>
    </xf>
    <xf numFmtId="2" fontId="31" fillId="29" borderId="10" xfId="0" applyNumberFormat="1" applyFont="1" applyFill="1" applyBorder="1" applyAlignment="1">
      <alignment horizontal="center" vertical="center" wrapText="1"/>
    </xf>
    <xf numFmtId="0" fontId="37" fillId="24" borderId="12" xfId="0" applyFont="1" applyFill="1" applyBorder="1" applyAlignment="1">
      <alignment horizontal="left" vertical="center"/>
    </xf>
    <xf numFmtId="0" fontId="32" fillId="29" borderId="15" xfId="0" applyFont="1" applyFill="1" applyBorder="1" applyAlignment="1">
      <alignment horizontal="center" vertical="center"/>
    </xf>
    <xf numFmtId="2" fontId="44" fillId="29" borderId="15" xfId="0" applyNumberFormat="1" applyFont="1" applyFill="1" applyBorder="1" applyAlignment="1">
      <alignment horizontal="right" vertical="center"/>
    </xf>
    <xf numFmtId="169" fontId="39" fillId="24" borderId="16" xfId="61" applyNumberFormat="1" applyFont="1" applyFill="1" applyBorder="1" applyAlignment="1">
      <alignment horizontal="left" vertical="center" wrapText="1"/>
    </xf>
    <xf numFmtId="2" fontId="32" fillId="24" borderId="44" xfId="0" applyNumberFormat="1" applyFont="1" applyFill="1" applyBorder="1" applyAlignment="1">
      <alignment horizontal="left" vertical="center"/>
    </xf>
    <xf numFmtId="0" fontId="37" fillId="24" borderId="16" xfId="0" applyFont="1" applyFill="1" applyBorder="1" applyAlignment="1">
      <alignment horizontal="left" vertical="center"/>
    </xf>
    <xf numFmtId="0" fontId="37" fillId="24" borderId="15" xfId="0" applyFont="1" applyFill="1" applyBorder="1" applyAlignment="1">
      <alignment horizontal="left" vertical="center"/>
    </xf>
    <xf numFmtId="0" fontId="37" fillId="24" borderId="15" xfId="0" applyFont="1" applyFill="1" applyBorder="1" applyAlignment="1">
      <alignment horizontal="center" vertical="center"/>
    </xf>
    <xf numFmtId="0" fontId="64" fillId="29" borderId="55" xfId="0" applyFont="1" applyFill="1" applyBorder="1"/>
    <xf numFmtId="0" fontId="63" fillId="29" borderId="39" xfId="0" applyFont="1" applyFill="1" applyBorder="1" applyAlignment="1">
      <alignment horizontal="center" vertical="center"/>
    </xf>
    <xf numFmtId="0" fontId="31" fillId="29" borderId="39" xfId="0" applyFont="1" applyFill="1" applyBorder="1" applyAlignment="1">
      <alignment horizontal="center" vertical="center"/>
    </xf>
    <xf numFmtId="14" fontId="62" fillId="29" borderId="48" xfId="0" applyNumberFormat="1" applyFont="1" applyFill="1" applyBorder="1" applyAlignment="1">
      <alignment horizontal="left" vertical="center"/>
    </xf>
    <xf numFmtId="2" fontId="31" fillId="29" borderId="44" xfId="0" applyNumberFormat="1" applyFont="1" applyFill="1" applyBorder="1" applyAlignment="1">
      <alignment horizontal="center" vertical="center" wrapText="1"/>
    </xf>
    <xf numFmtId="0" fontId="63" fillId="29" borderId="44" xfId="0" applyFont="1" applyFill="1" applyBorder="1" applyAlignment="1">
      <alignment horizontal="right"/>
    </xf>
    <xf numFmtId="14" fontId="62" fillId="29" borderId="44" xfId="0" applyNumberFormat="1" applyFont="1" applyFill="1" applyBorder="1" applyAlignment="1">
      <alignment horizontal="left"/>
    </xf>
    <xf numFmtId="0" fontId="31" fillId="29" borderId="44" xfId="0" applyFont="1" applyFill="1" applyBorder="1" applyAlignment="1">
      <alignment horizontal="center" vertical="center"/>
    </xf>
    <xf numFmtId="2" fontId="31" fillId="29" borderId="44" xfId="0" applyNumberFormat="1" applyFont="1" applyFill="1" applyBorder="1" applyAlignment="1">
      <alignment vertical="center" wrapText="1"/>
    </xf>
    <xf numFmtId="2" fontId="31" fillId="29" borderId="45" xfId="0" applyNumberFormat="1" applyFont="1" applyFill="1" applyBorder="1" applyAlignment="1">
      <alignment vertical="center" wrapText="1"/>
    </xf>
    <xf numFmtId="2" fontId="31" fillId="29" borderId="12" xfId="0" applyNumberFormat="1" applyFont="1" applyFill="1" applyBorder="1" applyAlignment="1">
      <alignment vertical="center" wrapText="1"/>
    </xf>
    <xf numFmtId="2" fontId="31" fillId="29" borderId="15" xfId="0" applyNumberFormat="1" applyFont="1" applyFill="1" applyBorder="1" applyAlignment="1">
      <alignment horizontal="center" vertical="center" wrapText="1"/>
    </xf>
    <xf numFmtId="2" fontId="46" fillId="29" borderId="15" xfId="0" applyNumberFormat="1" applyFont="1" applyFill="1" applyBorder="1" applyAlignment="1">
      <alignment horizontal="right"/>
    </xf>
    <xf numFmtId="0" fontId="31" fillId="29" borderId="15" xfId="0" applyFont="1" applyFill="1" applyBorder="1" applyAlignment="1">
      <alignment horizontal="center" vertical="center"/>
    </xf>
    <xf numFmtId="2" fontId="31" fillId="29" borderId="15" xfId="0" applyNumberFormat="1" applyFont="1" applyFill="1" applyBorder="1" applyAlignment="1">
      <alignment vertical="center" wrapText="1"/>
    </xf>
    <xf numFmtId="2" fontId="31" fillId="29" borderId="34" xfId="0" applyNumberFormat="1" applyFont="1" applyFill="1" applyBorder="1" applyAlignment="1">
      <alignment vertical="center" wrapText="1"/>
    </xf>
    <xf numFmtId="0" fontId="88" fillId="42" borderId="38" xfId="89" applyFont="1" applyFill="1" applyBorder="1" applyAlignment="1">
      <alignment horizontal="center" vertical="center"/>
    </xf>
    <xf numFmtId="0" fontId="88" fillId="42" borderId="24" xfId="89" applyFont="1" applyFill="1" applyBorder="1" applyAlignment="1">
      <alignment horizontal="center" vertical="center"/>
    </xf>
    <xf numFmtId="0" fontId="88" fillId="42" borderId="15" xfId="89" applyFont="1" applyFill="1" applyBorder="1" applyAlignment="1">
      <alignment vertical="center"/>
    </xf>
    <xf numFmtId="173" fontId="88" fillId="42" borderId="15" xfId="48" applyNumberFormat="1" applyFont="1" applyFill="1" applyBorder="1" applyAlignment="1">
      <alignment horizontal="center" vertical="center"/>
    </xf>
    <xf numFmtId="173" fontId="88" fillId="42" borderId="15" xfId="48" applyNumberFormat="1" applyFont="1" applyFill="1" applyBorder="1" applyAlignment="1">
      <alignment vertical="center"/>
    </xf>
    <xf numFmtId="164" fontId="88" fillId="42" borderId="24" xfId="89" applyNumberFormat="1" applyFont="1" applyFill="1" applyBorder="1" applyAlignment="1">
      <alignment vertical="center"/>
    </xf>
    <xf numFmtId="1" fontId="31" fillId="24" borderId="51" xfId="38" applyNumberFormat="1" applyFont="1" applyFill="1" applyBorder="1" applyAlignment="1">
      <alignment horizontal="center" vertical="center"/>
    </xf>
    <xf numFmtId="1" fontId="31" fillId="33" borderId="73" xfId="38" applyNumberFormat="1" applyFont="1" applyFill="1" applyBorder="1" applyAlignment="1">
      <alignment horizontal="center" vertical="center"/>
    </xf>
    <xf numFmtId="1" fontId="31" fillId="33" borderId="74" xfId="38" applyNumberFormat="1" applyFont="1" applyFill="1" applyBorder="1" applyAlignment="1">
      <alignment horizontal="center" vertical="center"/>
    </xf>
    <xf numFmtId="0" fontId="31" fillId="33" borderId="75" xfId="38" applyNumberFormat="1" applyFont="1" applyFill="1" applyBorder="1" applyAlignment="1">
      <alignment vertical="center" wrapText="1"/>
    </xf>
    <xf numFmtId="0" fontId="88" fillId="42" borderId="76" xfId="89" applyFont="1" applyFill="1" applyBorder="1" applyAlignment="1">
      <alignment horizontal="center" vertical="center"/>
    </xf>
    <xf numFmtId="0" fontId="88" fillId="42" borderId="11" xfId="89" applyFont="1" applyFill="1" applyBorder="1" applyAlignment="1">
      <alignment horizontal="center" vertical="center"/>
    </xf>
    <xf numFmtId="0" fontId="88" fillId="42" borderId="39" xfId="89" applyFont="1" applyFill="1" applyBorder="1" applyAlignment="1">
      <alignment vertical="center"/>
    </xf>
    <xf numFmtId="173" fontId="88" fillId="42" borderId="39" xfId="48" applyNumberFormat="1" applyFont="1" applyFill="1" applyBorder="1" applyAlignment="1">
      <alignment horizontal="center" vertical="center"/>
    </xf>
    <xf numFmtId="173" fontId="88" fillId="42" borderId="39" xfId="48" applyNumberFormat="1" applyFont="1" applyFill="1" applyBorder="1" applyAlignment="1">
      <alignment vertical="center"/>
    </xf>
    <xf numFmtId="164" fontId="88" fillId="42" borderId="11" xfId="89" applyNumberFormat="1" applyFont="1" applyFill="1" applyBorder="1" applyAlignment="1">
      <alignment vertical="center"/>
    </xf>
    <xf numFmtId="1" fontId="31" fillId="33" borderId="51" xfId="93" applyNumberFormat="1" applyFont="1" applyFill="1" applyBorder="1" applyAlignment="1">
      <alignment horizontal="center" vertical="center"/>
    </xf>
    <xf numFmtId="1" fontId="31" fillId="33" borderId="74" xfId="93" applyNumberFormat="1" applyFont="1" applyFill="1" applyBorder="1" applyAlignment="1">
      <alignment horizontal="center" vertical="center"/>
    </xf>
    <xf numFmtId="0" fontId="31" fillId="33" borderId="75" xfId="94" applyFont="1" applyFill="1" applyBorder="1" applyAlignment="1">
      <alignment horizontal="justify" vertical="center" wrapText="1"/>
    </xf>
    <xf numFmtId="173" fontId="31" fillId="34" borderId="52" xfId="48" applyNumberFormat="1" applyFont="1" applyFill="1" applyBorder="1" applyAlignment="1">
      <alignment horizontal="center" vertical="center"/>
    </xf>
    <xf numFmtId="9" fontId="31" fillId="34" borderId="52" xfId="79" applyFont="1" applyFill="1" applyBorder="1" applyAlignment="1">
      <alignment horizontal="right" vertical="center"/>
    </xf>
    <xf numFmtId="173" fontId="31" fillId="34" borderId="52" xfId="48" applyNumberFormat="1" applyFont="1" applyFill="1" applyBorder="1" applyAlignment="1">
      <alignment horizontal="right" vertical="center"/>
    </xf>
    <xf numFmtId="167" fontId="31" fillId="34" borderId="52" xfId="93" applyNumberFormat="1" applyFont="1" applyFill="1" applyBorder="1" applyAlignment="1">
      <alignment horizontal="center" vertical="center"/>
    </xf>
    <xf numFmtId="171" fontId="31" fillId="34" borderId="52" xfId="93" applyNumberFormat="1" applyFont="1" applyFill="1" applyBorder="1" applyAlignment="1">
      <alignment horizontal="right" vertical="center"/>
    </xf>
    <xf numFmtId="171" fontId="31" fillId="33" borderId="52" xfId="93" applyNumberFormat="1" applyFont="1" applyFill="1" applyBorder="1" applyAlignment="1">
      <alignment horizontal="right" vertical="center"/>
    </xf>
    <xf numFmtId="170" fontId="31" fillId="36" borderId="52" xfId="93" applyNumberFormat="1" applyFont="1" applyFill="1" applyBorder="1" applyAlignment="1" applyProtection="1">
      <alignment horizontal="left" vertical="center"/>
    </xf>
    <xf numFmtId="0" fontId="65" fillId="0" borderId="11" xfId="41" applyFont="1" applyFill="1" applyBorder="1" applyAlignment="1">
      <alignment vertical="center"/>
    </xf>
    <xf numFmtId="0" fontId="65" fillId="24" borderId="11" xfId="41" applyFont="1" applyFill="1" applyBorder="1" applyAlignment="1">
      <alignment horizontal="right" vertical="center"/>
    </xf>
    <xf numFmtId="173" fontId="65" fillId="0" borderId="11" xfId="63" applyNumberFormat="1" applyFont="1" applyFill="1" applyBorder="1" applyAlignment="1">
      <alignment vertical="center"/>
    </xf>
    <xf numFmtId="164" fontId="65" fillId="0" borderId="11" xfId="41" applyNumberFormat="1" applyFont="1" applyFill="1" applyBorder="1" applyAlignment="1">
      <alignment vertical="center"/>
    </xf>
    <xf numFmtId="164" fontId="65" fillId="24" borderId="11" xfId="41" applyNumberFormat="1" applyFont="1" applyFill="1" applyBorder="1" applyAlignment="1">
      <alignment vertical="center"/>
    </xf>
    <xf numFmtId="0" fontId="31" fillId="0" borderId="10" xfId="0" applyFont="1" applyBorder="1"/>
    <xf numFmtId="0" fontId="31" fillId="0" borderId="12" xfId="0" applyFont="1" applyBorder="1"/>
    <xf numFmtId="0" fontId="72" fillId="0" borderId="10" xfId="0" applyFont="1" applyBorder="1"/>
    <xf numFmtId="0" fontId="74" fillId="0" borderId="0" xfId="0" applyFont="1"/>
    <xf numFmtId="0" fontId="72" fillId="0" borderId="12" xfId="0" applyFont="1" applyBorder="1"/>
    <xf numFmtId="0" fontId="79" fillId="0" borderId="0" xfId="0" applyFont="1"/>
    <xf numFmtId="0" fontId="53" fillId="0" borderId="0" xfId="0" applyFont="1"/>
    <xf numFmtId="175" fontId="53" fillId="0" borderId="0" xfId="0" applyNumberFormat="1" applyFont="1"/>
    <xf numFmtId="0" fontId="79" fillId="0" borderId="0" xfId="0" applyFont="1" applyAlignment="1">
      <alignment vertical="center"/>
    </xf>
    <xf numFmtId="0" fontId="80" fillId="0" borderId="10" xfId="0" applyFont="1" applyBorder="1"/>
    <xf numFmtId="0" fontId="53" fillId="0" borderId="0" xfId="0" applyFont="1" applyAlignment="1">
      <alignment horizontal="center"/>
    </xf>
    <xf numFmtId="0" fontId="74" fillId="0" borderId="0" xfId="0" applyFont="1" applyAlignment="1">
      <alignment vertical="top"/>
    </xf>
    <xf numFmtId="0" fontId="31" fillId="0" borderId="16" xfId="0" applyFont="1" applyBorder="1"/>
    <xf numFmtId="0" fontId="31" fillId="0" borderId="15" xfId="0" applyFont="1" applyBorder="1"/>
    <xf numFmtId="0" fontId="31" fillId="0" borderId="34" xfId="0" applyFont="1" applyBorder="1"/>
    <xf numFmtId="2" fontId="31" fillId="24" borderId="0" xfId="0" applyNumberFormat="1" applyFont="1" applyFill="1" applyAlignment="1">
      <alignment vertical="top" wrapText="1"/>
    </xf>
    <xf numFmtId="2" fontId="32" fillId="24" borderId="0" xfId="0" applyNumberFormat="1" applyFont="1" applyFill="1" applyAlignment="1">
      <alignment vertical="center" wrapText="1"/>
    </xf>
    <xf numFmtId="0" fontId="63" fillId="24" borderId="0" xfId="0" applyFont="1" applyFill="1" applyAlignment="1">
      <alignment horizontal="right"/>
    </xf>
    <xf numFmtId="172" fontId="45" fillId="24" borderId="0" xfId="0" applyNumberFormat="1" applyFont="1" applyFill="1"/>
    <xf numFmtId="172" fontId="62" fillId="24" borderId="0" xfId="0" applyNumberFormat="1" applyFont="1" applyFill="1" applyAlignment="1">
      <alignment horizontal="left"/>
    </xf>
    <xf numFmtId="172" fontId="62" fillId="24" borderId="0" xfId="0" applyNumberFormat="1" applyFont="1" applyFill="1" applyAlignment="1">
      <alignment horizontal="left" vertical="top"/>
    </xf>
    <xf numFmtId="0" fontId="63" fillId="24" borderId="0" xfId="0" applyFont="1" applyFill="1" applyAlignment="1">
      <alignment horizontal="right" vertical="center"/>
    </xf>
    <xf numFmtId="0" fontId="64" fillId="24" borderId="0" xfId="0" applyFont="1" applyFill="1" applyAlignment="1">
      <alignment horizontal="center" vertical="center"/>
    </xf>
    <xf numFmtId="0" fontId="31" fillId="24" borderId="0" xfId="0" applyFont="1" applyFill="1" applyAlignment="1">
      <alignment vertical="center"/>
    </xf>
    <xf numFmtId="0" fontId="64" fillId="24" borderId="0" xfId="0" applyFont="1" applyFill="1" applyAlignment="1">
      <alignment horizontal="left" vertical="center"/>
    </xf>
    <xf numFmtId="169" fontId="64" fillId="24" borderId="0" xfId="61" applyNumberFormat="1" applyFont="1" applyFill="1" applyBorder="1" applyAlignment="1">
      <alignment vertical="center"/>
    </xf>
    <xf numFmtId="169" fontId="64" fillId="24" borderId="0" xfId="61" applyNumberFormat="1" applyFont="1" applyFill="1" applyBorder="1" applyAlignment="1">
      <alignment vertical="center" wrapText="1"/>
    </xf>
    <xf numFmtId="2" fontId="83" fillId="24" borderId="0" xfId="0" applyNumberFormat="1" applyFont="1" applyFill="1" applyAlignment="1">
      <alignment vertical="center" wrapText="1"/>
    </xf>
    <xf numFmtId="2" fontId="44" fillId="24" borderId="0" xfId="0" applyNumberFormat="1" applyFont="1" applyFill="1" applyAlignment="1">
      <alignment horizontal="center" vertical="center" wrapText="1"/>
    </xf>
    <xf numFmtId="0" fontId="68" fillId="32" borderId="11" xfId="77" applyFont="1" applyFill="1" applyBorder="1" applyAlignment="1">
      <alignment horizontal="center" vertical="center" wrapText="1"/>
    </xf>
    <xf numFmtId="169" fontId="46" fillId="24" borderId="11" xfId="61" applyNumberFormat="1" applyFont="1" applyFill="1" applyBorder="1" applyAlignment="1">
      <alignment horizontal="justify" vertical="center" wrapText="1"/>
    </xf>
    <xf numFmtId="9" fontId="39" fillId="31" borderId="11" xfId="79" applyFont="1" applyFill="1" applyBorder="1" applyAlignment="1">
      <alignment horizontal="center" vertical="center"/>
    </xf>
    <xf numFmtId="2" fontId="59" fillId="0" borderId="43" xfId="0" applyNumberFormat="1" applyFont="1" applyBorder="1" applyAlignment="1">
      <alignment vertical="center"/>
    </xf>
    <xf numFmtId="2" fontId="59" fillId="0" borderId="44" xfId="0" applyNumberFormat="1" applyFont="1" applyBorder="1" applyAlignment="1">
      <alignment vertical="center" wrapText="1"/>
    </xf>
    <xf numFmtId="2" fontId="53" fillId="0" borderId="44" xfId="0" applyNumberFormat="1" applyFont="1" applyBorder="1" applyAlignment="1">
      <alignment vertical="center" wrapText="1"/>
    </xf>
    <xf numFmtId="2" fontId="53" fillId="0" borderId="45" xfId="0" applyNumberFormat="1" applyFont="1" applyBorder="1" applyAlignment="1">
      <alignment vertical="center" wrapText="1"/>
    </xf>
    <xf numFmtId="1" fontId="31" fillId="24" borderId="0" xfId="38" applyNumberFormat="1" applyFont="1" applyFill="1" applyBorder="1" applyAlignment="1">
      <alignment horizontal="center" vertical="center"/>
    </xf>
    <xf numFmtId="1" fontId="31" fillId="33" borderId="0" xfId="38" applyNumberFormat="1" applyFont="1" applyFill="1" applyBorder="1" applyAlignment="1">
      <alignment horizontal="center" vertical="center"/>
    </xf>
    <xf numFmtId="0" fontId="40" fillId="35" borderId="0" xfId="0" applyFont="1" applyFill="1" applyAlignment="1">
      <alignment horizontal="center" vertical="center"/>
    </xf>
    <xf numFmtId="173" fontId="31" fillId="34" borderId="0" xfId="63" applyNumberFormat="1" applyFont="1" applyFill="1" applyBorder="1" applyAlignment="1">
      <alignment horizontal="center" vertical="center"/>
    </xf>
    <xf numFmtId="9" fontId="31" fillId="34" borderId="0" xfId="62" applyFont="1" applyFill="1" applyBorder="1" applyAlignment="1">
      <alignment horizontal="right" vertical="center"/>
    </xf>
    <xf numFmtId="173" fontId="31" fillId="34" borderId="0" xfId="63" applyNumberFormat="1" applyFont="1" applyFill="1" applyBorder="1" applyAlignment="1">
      <alignment horizontal="right" vertical="center"/>
    </xf>
    <xf numFmtId="0" fontId="85" fillId="35" borderId="0" xfId="0" applyFont="1" applyFill="1" applyAlignment="1">
      <alignment horizontal="center" vertical="center"/>
    </xf>
    <xf numFmtId="174" fontId="31" fillId="34" borderId="0" xfId="94" applyNumberFormat="1" applyFont="1" applyFill="1" applyBorder="1" applyAlignment="1">
      <alignment horizontal="center" vertical="center"/>
    </xf>
    <xf numFmtId="167" fontId="31" fillId="34" borderId="0" xfId="38" applyNumberFormat="1" applyFont="1" applyFill="1" applyBorder="1" applyAlignment="1">
      <alignment horizontal="center" vertical="center"/>
    </xf>
    <xf numFmtId="171" fontId="31" fillId="34" borderId="0" xfId="38" applyNumberFormat="1" applyFont="1" applyFill="1" applyBorder="1" applyAlignment="1">
      <alignment horizontal="right" vertical="center"/>
    </xf>
    <xf numFmtId="171" fontId="31" fillId="33" borderId="0" xfId="38" applyNumberFormat="1" applyFont="1" applyFill="1" applyBorder="1" applyAlignment="1">
      <alignment horizontal="right" vertical="center"/>
    </xf>
    <xf numFmtId="170" fontId="31" fillId="36" borderId="0" xfId="38" applyNumberFormat="1" applyFont="1" applyFill="1" applyBorder="1" applyAlignment="1" applyProtection="1">
      <alignment horizontal="left" vertical="center"/>
    </xf>
    <xf numFmtId="165" fontId="31" fillId="0" borderId="0" xfId="45" applyNumberFormat="1" applyFont="1" applyAlignment="1">
      <alignment vertical="center"/>
    </xf>
    <xf numFmtId="166" fontId="32" fillId="28" borderId="0" xfId="78" applyFont="1" applyFill="1" applyBorder="1" applyAlignment="1">
      <alignment vertical="center"/>
    </xf>
    <xf numFmtId="169" fontId="32" fillId="25" borderId="0" xfId="78" applyNumberFormat="1" applyFont="1" applyFill="1" applyBorder="1" applyAlignment="1">
      <alignment vertical="center"/>
    </xf>
    <xf numFmtId="0" fontId="31" fillId="34" borderId="40" xfId="94" applyFont="1" applyFill="1" applyAlignment="1">
      <alignment horizontal="center" vertical="center"/>
    </xf>
    <xf numFmtId="177" fontId="66" fillId="32" borderId="56" xfId="38" applyNumberFormat="1" applyFont="1" applyFill="1" applyBorder="1" applyAlignment="1">
      <alignment horizontal="center" vertical="center"/>
    </xf>
    <xf numFmtId="177" fontId="66" fillId="32" borderId="46" xfId="38" applyNumberFormat="1" applyFont="1" applyFill="1" applyBorder="1" applyAlignment="1">
      <alignment horizontal="center" vertical="center"/>
    </xf>
    <xf numFmtId="177" fontId="66" fillId="32" borderId="57" xfId="38" applyNumberFormat="1" applyFont="1" applyFill="1" applyBorder="1" applyAlignment="1">
      <alignment horizontal="center" vertical="center"/>
    </xf>
    <xf numFmtId="14" fontId="62" fillId="24" borderId="15" xfId="0" applyNumberFormat="1" applyFont="1" applyFill="1" applyBorder="1" applyAlignment="1">
      <alignment horizontal="center" vertical="center"/>
    </xf>
    <xf numFmtId="0" fontId="61" fillId="24" borderId="0" xfId="92" applyFont="1" applyFill="1" applyBorder="1" applyAlignment="1">
      <alignment horizontal="center"/>
    </xf>
    <xf numFmtId="0" fontId="61" fillId="24" borderId="72" xfId="92" applyFont="1" applyFill="1" applyBorder="1" applyAlignment="1">
      <alignment horizontal="center"/>
    </xf>
    <xf numFmtId="0" fontId="65" fillId="24" borderId="65" xfId="41" applyFont="1" applyFill="1" applyBorder="1" applyAlignment="1">
      <alignment horizontal="left" vertical="center"/>
    </xf>
    <xf numFmtId="0" fontId="65" fillId="24" borderId="66" xfId="41" applyFont="1" applyFill="1" applyBorder="1" applyAlignment="1">
      <alignment horizontal="left" vertical="center"/>
    </xf>
    <xf numFmtId="0" fontId="65" fillId="24" borderId="63" xfId="41" applyFont="1" applyFill="1" applyBorder="1" applyAlignment="1">
      <alignment horizontal="left" vertical="center"/>
    </xf>
    <xf numFmtId="0" fontId="65" fillId="24" borderId="17" xfId="41" applyFont="1" applyFill="1" applyBorder="1" applyAlignment="1">
      <alignment horizontal="left" vertical="center"/>
    </xf>
    <xf numFmtId="0" fontId="65" fillId="24" borderId="61" xfId="41" applyFont="1" applyFill="1" applyBorder="1" applyAlignment="1">
      <alignment horizontal="left" vertical="center"/>
    </xf>
    <xf numFmtId="0" fontId="65" fillId="24" borderId="22" xfId="41" applyFont="1" applyFill="1" applyBorder="1" applyAlignment="1">
      <alignment horizontal="left" vertical="center"/>
    </xf>
    <xf numFmtId="0" fontId="65" fillId="24" borderId="11" xfId="41" applyFont="1" applyFill="1" applyBorder="1" applyAlignment="1">
      <alignment horizontal="left" vertical="center"/>
    </xf>
    <xf numFmtId="0" fontId="65" fillId="24" borderId="55" xfId="41" applyFont="1" applyFill="1" applyBorder="1" applyAlignment="1">
      <alignment horizontal="center" vertical="center"/>
    </xf>
    <xf numFmtId="0" fontId="65" fillId="24" borderId="39" xfId="41" applyFont="1" applyFill="1" applyBorder="1" applyAlignment="1">
      <alignment horizontal="center" vertical="center"/>
    </xf>
    <xf numFmtId="0" fontId="65" fillId="24" borderId="48" xfId="41" applyFont="1" applyFill="1" applyBorder="1" applyAlignment="1">
      <alignment horizontal="center" vertical="center"/>
    </xf>
    <xf numFmtId="0" fontId="53" fillId="0" borderId="10" xfId="0" applyFont="1" applyBorder="1" applyAlignment="1">
      <alignment horizontal="left" indent="3"/>
    </xf>
    <xf numFmtId="0" fontId="53" fillId="0" borderId="0" xfId="0" applyFont="1" applyAlignment="1">
      <alignment horizontal="left" indent="3"/>
    </xf>
    <xf numFmtId="0" fontId="79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53" fillId="0" borderId="0" xfId="0" applyFont="1" applyAlignment="1">
      <alignment horizontal="center"/>
    </xf>
    <xf numFmtId="0" fontId="71" fillId="38" borderId="43" xfId="0" applyFont="1" applyFill="1" applyBorder="1" applyAlignment="1">
      <alignment horizontal="center" vertical="center"/>
    </xf>
    <xf numFmtId="0" fontId="67" fillId="38" borderId="44" xfId="0" applyFont="1" applyFill="1" applyBorder="1" applyAlignment="1">
      <alignment horizontal="center" vertical="center"/>
    </xf>
    <xf numFmtId="0" fontId="67" fillId="38" borderId="45" xfId="0" applyFont="1" applyFill="1" applyBorder="1" applyAlignment="1">
      <alignment horizontal="center" vertical="center"/>
    </xf>
    <xf numFmtId="0" fontId="67" fillId="38" borderId="10" xfId="0" applyFont="1" applyFill="1" applyBorder="1" applyAlignment="1">
      <alignment horizontal="center" vertical="center"/>
    </xf>
    <xf numFmtId="0" fontId="67" fillId="38" borderId="0" xfId="0" applyFont="1" applyFill="1" applyAlignment="1">
      <alignment horizontal="center" vertical="center"/>
    </xf>
    <xf numFmtId="0" fontId="67" fillId="38" borderId="12" xfId="0" applyFont="1" applyFill="1" applyBorder="1" applyAlignment="1">
      <alignment horizontal="center" vertical="center"/>
    </xf>
    <xf numFmtId="0" fontId="67" fillId="38" borderId="16" xfId="0" applyFont="1" applyFill="1" applyBorder="1" applyAlignment="1">
      <alignment horizontal="center" vertical="center"/>
    </xf>
    <xf numFmtId="0" fontId="67" fillId="38" borderId="15" xfId="0" applyFont="1" applyFill="1" applyBorder="1" applyAlignment="1">
      <alignment horizontal="center" vertical="center"/>
    </xf>
    <xf numFmtId="0" fontId="67" fillId="38" borderId="34" xfId="0" applyFont="1" applyFill="1" applyBorder="1" applyAlignment="1">
      <alignment horizontal="center" vertical="center"/>
    </xf>
    <xf numFmtId="0" fontId="73" fillId="0" borderId="21" xfId="0" applyFont="1" applyBorder="1" applyAlignment="1">
      <alignment horizontal="center"/>
    </xf>
    <xf numFmtId="0" fontId="75" fillId="0" borderId="21" xfId="0" applyFont="1" applyBorder="1" applyAlignment="1">
      <alignment horizontal="center"/>
    </xf>
    <xf numFmtId="0" fontId="76" fillId="0" borderId="21" xfId="0" applyFont="1" applyBorder="1" applyAlignment="1">
      <alignment horizontal="center"/>
    </xf>
    <xf numFmtId="0" fontId="77" fillId="0" borderId="21" xfId="0" applyFont="1" applyBorder="1" applyAlignment="1">
      <alignment horizontal="center"/>
    </xf>
    <xf numFmtId="0" fontId="74" fillId="0" borderId="21" xfId="0" applyFont="1" applyBorder="1" applyAlignment="1">
      <alignment horizontal="center"/>
    </xf>
    <xf numFmtId="0" fontId="78" fillId="0" borderId="21" xfId="0" applyFont="1" applyBorder="1" applyAlignment="1">
      <alignment horizontal="center"/>
    </xf>
    <xf numFmtId="167" fontId="53" fillId="0" borderId="0" xfId="63" applyFont="1" applyBorder="1" applyAlignment="1"/>
    <xf numFmtId="0" fontId="81" fillId="24" borderId="55" xfId="92" applyFont="1" applyFill="1" applyBorder="1" applyAlignment="1">
      <alignment horizontal="center" vertical="center" wrapText="1"/>
    </xf>
    <xf numFmtId="0" fontId="81" fillId="24" borderId="48" xfId="92" applyFont="1" applyFill="1" applyBorder="1" applyAlignment="1">
      <alignment horizontal="center" vertical="center" wrapText="1"/>
    </xf>
    <xf numFmtId="2" fontId="69" fillId="0" borderId="43" xfId="0" applyNumberFormat="1" applyFont="1" applyBorder="1" applyAlignment="1">
      <alignment horizontal="center" vertical="center" wrapText="1"/>
    </xf>
    <xf numFmtId="2" fontId="69" fillId="0" borderId="44" xfId="0" applyNumberFormat="1" applyFont="1" applyBorder="1" applyAlignment="1">
      <alignment horizontal="center" vertical="center" wrapText="1"/>
    </xf>
    <xf numFmtId="2" fontId="69" fillId="0" borderId="45" xfId="0" applyNumberFormat="1" applyFont="1" applyBorder="1" applyAlignment="1">
      <alignment horizontal="center" vertical="center" wrapText="1"/>
    </xf>
    <xf numFmtId="2" fontId="69" fillId="0" borderId="10" xfId="0" applyNumberFormat="1" applyFont="1" applyBorder="1" applyAlignment="1">
      <alignment horizontal="center" vertical="center" wrapText="1"/>
    </xf>
    <xf numFmtId="2" fontId="69" fillId="0" borderId="0" xfId="0" applyNumberFormat="1" applyFont="1" applyAlignment="1">
      <alignment horizontal="center" vertical="center" wrapText="1"/>
    </xf>
    <xf numFmtId="2" fontId="69" fillId="0" borderId="12" xfId="0" applyNumberFormat="1" applyFont="1" applyBorder="1" applyAlignment="1">
      <alignment horizontal="center" vertical="center" wrapText="1"/>
    </xf>
    <xf numFmtId="2" fontId="69" fillId="0" borderId="16" xfId="0" applyNumberFormat="1" applyFont="1" applyBorder="1" applyAlignment="1">
      <alignment horizontal="center" vertical="center" wrapText="1"/>
    </xf>
    <xf numFmtId="2" fontId="69" fillId="0" borderId="15" xfId="0" applyNumberFormat="1" applyFont="1" applyBorder="1" applyAlignment="1">
      <alignment horizontal="center" vertical="center" wrapText="1"/>
    </xf>
    <xf numFmtId="2" fontId="69" fillId="0" borderId="34" xfId="0" applyNumberFormat="1" applyFont="1" applyBorder="1" applyAlignment="1">
      <alignment horizontal="center" vertical="center" wrapText="1"/>
    </xf>
    <xf numFmtId="0" fontId="61" fillId="24" borderId="0" xfId="92" applyFont="1" applyFill="1" applyBorder="1" applyAlignment="1">
      <alignment horizontal="center" vertical="center" wrapText="1"/>
    </xf>
    <xf numFmtId="2" fontId="67" fillId="30" borderId="43" xfId="0" applyNumberFormat="1" applyFont="1" applyFill="1" applyBorder="1" applyAlignment="1">
      <alignment horizontal="center" vertical="center"/>
    </xf>
    <xf numFmtId="2" fontId="67" fillId="30" borderId="44" xfId="0" applyNumberFormat="1" applyFont="1" applyFill="1" applyBorder="1" applyAlignment="1">
      <alignment horizontal="center" vertical="center"/>
    </xf>
    <xf numFmtId="2" fontId="67" fillId="30" borderId="45" xfId="0" applyNumberFormat="1" applyFont="1" applyFill="1" applyBorder="1" applyAlignment="1">
      <alignment horizontal="center" vertical="center"/>
    </xf>
    <xf numFmtId="2" fontId="67" fillId="30" borderId="16" xfId="0" applyNumberFormat="1" applyFont="1" applyFill="1" applyBorder="1" applyAlignment="1">
      <alignment horizontal="center" vertical="center"/>
    </xf>
    <xf numFmtId="2" fontId="67" fillId="30" borderId="15" xfId="0" applyNumberFormat="1" applyFont="1" applyFill="1" applyBorder="1" applyAlignment="1">
      <alignment horizontal="center" vertical="center"/>
    </xf>
    <xf numFmtId="2" fontId="67" fillId="30" borderId="34" xfId="0" applyNumberFormat="1" applyFont="1" applyFill="1" applyBorder="1" applyAlignment="1">
      <alignment horizontal="center" vertical="center"/>
    </xf>
    <xf numFmtId="0" fontId="74" fillId="24" borderId="11" xfId="92" applyFont="1" applyFill="1" applyBorder="1" applyAlignment="1">
      <alignment horizontal="center" vertical="center"/>
    </xf>
    <xf numFmtId="0" fontId="68" fillId="32" borderId="11" xfId="77" applyFont="1" applyFill="1" applyBorder="1" applyAlignment="1">
      <alignment horizontal="center" vertical="center" wrapText="1"/>
    </xf>
    <xf numFmtId="172" fontId="62" fillId="24" borderId="0" xfId="0" applyNumberFormat="1" applyFont="1" applyFill="1" applyAlignment="1">
      <alignment horizontal="left" vertical="top" wrapText="1"/>
    </xf>
    <xf numFmtId="0" fontId="81" fillId="24" borderId="11" xfId="92" applyFont="1" applyFill="1" applyBorder="1" applyAlignment="1">
      <alignment horizontal="center" vertical="center" wrapText="1"/>
    </xf>
    <xf numFmtId="2" fontId="70" fillId="31" borderId="11" xfId="0" applyNumberFormat="1" applyFont="1" applyFill="1" applyBorder="1" applyAlignment="1">
      <alignment horizontal="center" vertical="center" wrapText="1"/>
    </xf>
    <xf numFmtId="2" fontId="53" fillId="0" borderId="10" xfId="0" applyNumberFormat="1" applyFont="1" applyBorder="1" applyAlignment="1">
      <alignment horizontal="left" vertical="top" wrapText="1"/>
    </xf>
    <xf numFmtId="2" fontId="53" fillId="0" borderId="0" xfId="0" applyNumberFormat="1" applyFont="1" applyAlignment="1">
      <alignment horizontal="left" vertical="top" wrapText="1"/>
    </xf>
    <xf numFmtId="2" fontId="53" fillId="0" borderId="12" xfId="0" applyNumberFormat="1" applyFont="1" applyBorder="1" applyAlignment="1">
      <alignment horizontal="left" vertical="top" wrapText="1"/>
    </xf>
    <xf numFmtId="2" fontId="53" fillId="0" borderId="29" xfId="0" applyNumberFormat="1" applyFont="1" applyBorder="1" applyAlignment="1">
      <alignment horizontal="left" vertical="top" wrapText="1"/>
    </xf>
    <xf numFmtId="2" fontId="53" fillId="0" borderId="21" xfId="0" applyNumberFormat="1" applyFont="1" applyBorder="1" applyAlignment="1">
      <alignment horizontal="left" vertical="top" wrapText="1"/>
    </xf>
    <xf numFmtId="2" fontId="53" fillId="0" borderId="42" xfId="0" applyNumberFormat="1" applyFont="1" applyBorder="1" applyAlignment="1">
      <alignment horizontal="left" vertical="top" wrapText="1"/>
    </xf>
    <xf numFmtId="0" fontId="58" fillId="27" borderId="28" xfId="0" applyFont="1" applyFill="1" applyBorder="1" applyAlignment="1">
      <alignment horizontal="center" vertical="center"/>
    </xf>
    <xf numFmtId="0" fontId="58" fillId="27" borderId="14" xfId="0" applyFont="1" applyFill="1" applyBorder="1" applyAlignment="1">
      <alignment horizontal="center" vertical="center"/>
    </xf>
    <xf numFmtId="0" fontId="58" fillId="27" borderId="19" xfId="0" applyFont="1" applyFill="1" applyBorder="1" applyAlignment="1">
      <alignment horizontal="center" vertical="center"/>
    </xf>
    <xf numFmtId="0" fontId="58" fillId="27" borderId="60" xfId="0" applyFont="1" applyFill="1" applyBorder="1" applyAlignment="1">
      <alignment horizontal="center" vertical="center"/>
    </xf>
    <xf numFmtId="0" fontId="86" fillId="24" borderId="18" xfId="92" applyFont="1" applyFill="1" applyBorder="1" applyAlignment="1">
      <alignment horizontal="center"/>
    </xf>
    <xf numFmtId="0" fontId="86" fillId="24" borderId="19" xfId="92" applyFont="1" applyFill="1" applyBorder="1" applyAlignment="1">
      <alignment horizontal="center"/>
    </xf>
    <xf numFmtId="0" fontId="86" fillId="24" borderId="20" xfId="92" applyFont="1" applyFill="1" applyBorder="1" applyAlignment="1">
      <alignment horizontal="center"/>
    </xf>
  </cellXfs>
  <cellStyles count="10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63" builtinId="3"/>
    <cellStyle name="Comma 2" xfId="46" xr:uid="{00000000-0005-0000-0000-00001C000000}"/>
    <cellStyle name="Comma 2 2" xfId="48" xr:uid="{00000000-0005-0000-0000-00001D000000}"/>
    <cellStyle name="Currency" xfId="61" builtinId="4"/>
    <cellStyle name="Currency 2" xfId="50" xr:uid="{00000000-0005-0000-0000-00001F000000}"/>
    <cellStyle name="Currency 3" xfId="75" xr:uid="{00000000-0005-0000-0000-000020000000}"/>
    <cellStyle name="Currency 4" xfId="78" xr:uid="{00000000-0005-0000-0000-000021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92" builtinId="8"/>
    <cellStyle name="Input" xfId="34" builtinId="20" customBuiltin="1"/>
    <cellStyle name="Input 2" xfId="84" xr:uid="{00000000-0005-0000-0000-00002A000000}"/>
    <cellStyle name="Input 3" xfId="91" xr:uid="{00000000-0005-0000-0000-00002B000000}"/>
    <cellStyle name="Linked Cell" xfId="35" builtinId="24" customBuiltin="1"/>
    <cellStyle name="Neutral" xfId="36" builtinId="28" customBuiltin="1"/>
    <cellStyle name="Normal" xfId="0" builtinId="0"/>
    <cellStyle name="Normal 10" xfId="69" xr:uid="{00000000-0005-0000-0000-00002F000000}"/>
    <cellStyle name="Normal 11" xfId="97" xr:uid="{00000000-0005-0000-0000-000030000000}"/>
    <cellStyle name="Normal 12" xfId="96" xr:uid="{00000000-0005-0000-0000-000031000000}"/>
    <cellStyle name="Normal 13" xfId="99" xr:uid="{00000000-0005-0000-0000-000032000000}"/>
    <cellStyle name="Normal 2" xfId="44" xr:uid="{00000000-0005-0000-0000-000033000000}"/>
    <cellStyle name="Normal 2 2" xfId="47" xr:uid="{00000000-0005-0000-0000-000034000000}"/>
    <cellStyle name="Normal 2 3" xfId="45" xr:uid="{00000000-0005-0000-0000-000035000000}"/>
    <cellStyle name="Normal 2 3 2" xfId="52" xr:uid="{00000000-0005-0000-0000-000036000000}"/>
    <cellStyle name="Normal 3" xfId="37" xr:uid="{00000000-0005-0000-0000-000037000000}"/>
    <cellStyle name="Normal 4" xfId="43" xr:uid="{00000000-0005-0000-0000-000038000000}"/>
    <cellStyle name="Normal 4 2" xfId="53" xr:uid="{00000000-0005-0000-0000-000039000000}"/>
    <cellStyle name="Normal 4 2 2" xfId="58" xr:uid="{00000000-0005-0000-0000-00003A000000}"/>
    <cellStyle name="Normal 4 3" xfId="51" xr:uid="{00000000-0005-0000-0000-00003B000000}"/>
    <cellStyle name="Normal 4 3 2" xfId="57" xr:uid="{00000000-0005-0000-0000-00003C000000}"/>
    <cellStyle name="Normal 4 4" xfId="56" xr:uid="{00000000-0005-0000-0000-00003D000000}"/>
    <cellStyle name="Normal 5" xfId="49" xr:uid="{00000000-0005-0000-0000-00003E000000}"/>
    <cellStyle name="Normal 6" xfId="55" xr:uid="{00000000-0005-0000-0000-00003F000000}"/>
    <cellStyle name="Normal 7" xfId="54" xr:uid="{00000000-0005-0000-0000-000040000000}"/>
    <cellStyle name="Normal 7 2" xfId="59" xr:uid="{00000000-0005-0000-0000-000041000000}"/>
    <cellStyle name="Normal 8" xfId="60" xr:uid="{00000000-0005-0000-0000-000042000000}"/>
    <cellStyle name="Normal 9" xfId="65" xr:uid="{00000000-0005-0000-0000-000043000000}"/>
    <cellStyle name="Note" xfId="38" builtinId="10" customBuiltin="1"/>
    <cellStyle name="Note 10 2" xfId="71" xr:uid="{00000000-0005-0000-0000-000045000000}"/>
    <cellStyle name="Note 10 2 10 2 2 4 2 2 2 2 2 2 2 2 2 2" xfId="93" xr:uid="{00000000-0005-0000-0000-000046000000}"/>
    <cellStyle name="Note 10 2 10 2 2 4 2 2 2 2 2 2 2 2 2 2 2 2 2 2 2 3 2" xfId="95" xr:uid="{00000000-0005-0000-0000-000047000000}"/>
    <cellStyle name="Note 10 2 10 2 2 4 2 2 2 2 2 2 2 2 2 2 3" xfId="98" xr:uid="{00000000-0005-0000-0000-000048000000}"/>
    <cellStyle name="Note 10 2 11 3 3" xfId="90" xr:uid="{00000000-0005-0000-0000-000049000000}"/>
    <cellStyle name="Note 10 2 2" xfId="82" xr:uid="{00000000-0005-0000-0000-00004A000000}"/>
    <cellStyle name="Note 17 2" xfId="72" xr:uid="{00000000-0005-0000-0000-00004B000000}"/>
    <cellStyle name="Note 2" xfId="64" xr:uid="{00000000-0005-0000-0000-00004C000000}"/>
    <cellStyle name="Note 2 134" xfId="94" xr:uid="{00000000-0005-0000-0000-00004D000000}"/>
    <cellStyle name="Note 2 2" xfId="81" xr:uid="{00000000-0005-0000-0000-00004E000000}"/>
    <cellStyle name="Note 2 24" xfId="70" xr:uid="{00000000-0005-0000-0000-00004F000000}"/>
    <cellStyle name="Note 2 3" xfId="88" xr:uid="{00000000-0005-0000-0000-000050000000}"/>
    <cellStyle name="Note 2 6 2 2" xfId="74" xr:uid="{00000000-0005-0000-0000-000051000000}"/>
    <cellStyle name="Note 24" xfId="68" xr:uid="{00000000-0005-0000-0000-000052000000}"/>
    <cellStyle name="Note 25" xfId="67" xr:uid="{00000000-0005-0000-0000-000053000000}"/>
    <cellStyle name="Note 28 2" xfId="66" xr:uid="{00000000-0005-0000-0000-000054000000}"/>
    <cellStyle name="Note 3" xfId="80" xr:uid="{00000000-0005-0000-0000-000055000000}"/>
    <cellStyle name="Note 33" xfId="73" xr:uid="{00000000-0005-0000-0000-000056000000}"/>
    <cellStyle name="Note 4" xfId="87" xr:uid="{00000000-0005-0000-0000-000057000000}"/>
    <cellStyle name="Output" xfId="39" builtinId="21" customBuiltin="1"/>
    <cellStyle name="Output 2" xfId="77" xr:uid="{00000000-0005-0000-0000-000059000000}"/>
    <cellStyle name="Output 2 2" xfId="85" xr:uid="{00000000-0005-0000-0000-00005A000000}"/>
    <cellStyle name="Output 2 2 2" xfId="89" xr:uid="{00000000-0005-0000-0000-00005B000000}"/>
    <cellStyle name="Output 3" xfId="83" xr:uid="{00000000-0005-0000-0000-00005C000000}"/>
    <cellStyle name="Percent" xfId="62" builtinId="5"/>
    <cellStyle name="Percent 2" xfId="76" xr:uid="{00000000-0005-0000-0000-00005E000000}"/>
    <cellStyle name="Percent 3" xfId="79" xr:uid="{00000000-0005-0000-0000-00005F000000}"/>
    <cellStyle name="Title" xfId="40" builtinId="15" customBuiltin="1"/>
    <cellStyle name="Total" xfId="41" builtinId="25" customBuiltin="1"/>
    <cellStyle name="Total 2" xfId="86" xr:uid="{00000000-0005-0000-0000-000062000000}"/>
    <cellStyle name="Warning Text" xfId="42" builtinId="11" customBuiltin="1"/>
  </cellStyles>
  <dxfs count="11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numFmt numFmtId="14" formatCode="0.00%"/>
    </dxf>
    <dxf>
      <numFmt numFmtId="165" formatCode="_(* #,##0_);_(* \(#,##0\);_(* &quot;-&quot;_);_(@_)"/>
    </dxf>
    <dxf>
      <numFmt numFmtId="14" formatCode="0.00%"/>
    </dxf>
    <dxf>
      <numFmt numFmtId="165" formatCode="_(* #,##0_);_(* \(#,##0\);_(* &quot;-&quot;_);_(@_)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b/>
        <i val="0"/>
        <sz val="12"/>
        <color theme="1"/>
        <name val="Times New Roman"/>
        <scheme val="major"/>
      </font>
      <border diagonalUp="0" diagonalDown="0">
        <left/>
        <right/>
        <top/>
        <bottom/>
        <vertical/>
        <horizontal/>
      </border>
    </dxf>
  </dxfs>
  <tableStyles count="3" defaultTableStyle="TableStyleMedium9" defaultPivotStyle="PivotStyleLight16">
    <tableStyle name="My Style" pivot="0" table="0" count="10" xr9:uid="{00000000-0011-0000-FFFF-FFFF00000000}">
      <tableStyleElement type="wholeTable" dxfId="10"/>
      <tableStyleElement type="headerRow" dxfId="9"/>
    </tableStyle>
    <tableStyle name="Slicer Style 1" pivot="0" table="0" count="1" xr9:uid="{00000000-0011-0000-FFFF-FFFF01000000}">
      <tableStyleElement type="wholeTable" dxfId="8"/>
    </tableStyle>
    <tableStyle name="SlicerStyleDark1 2" pivot="0" table="0" count="10" xr9:uid="{00000000-0011-0000-FFFF-FFFF02000000}">
      <tableStyleElement type="wholeTable" dxfId="7"/>
      <tableStyleElement type="headerRow" dxfId="6"/>
    </tableStyle>
  </tableStyles>
  <colors>
    <mruColors>
      <color rgb="FF996600"/>
      <color rgb="FFCC6600"/>
      <color rgb="FFD2CBB6"/>
      <color rgb="FFDDEBF7"/>
      <color rgb="FFC86866"/>
      <color rgb="FFEC6B0A"/>
      <color rgb="FFFFF2CC"/>
      <color rgb="FFACB9CA"/>
      <color rgb="FFE2EFDA"/>
      <color rgb="FFF2F2F2"/>
    </mruColors>
  </colors>
  <extLst>
    <ext xmlns:x14="http://schemas.microsoft.com/office/spreadsheetml/2009/9/main" uri="{46F421CA-312F-682f-3DD2-61675219B42D}">
      <x14:dxfs count="16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My Style">
          <x14:slicerStyleElements>
            <x14:slicerStyleElement type="unselectedItemWithData" dxfId="15"/>
            <x14:slicerStyleElement type="unselectedItemWithNoData" dxfId="14"/>
            <x14:slicerStyleElement type="selectedItemWithData" dxfId="13"/>
            <x14:slicerStyleElement type="selectedItemWithNoData" dxfId="12"/>
            <x14:slicerStyleElement type="hoveredUnselectedItemWithData" dxfId="11"/>
            <x14:slicerStyleElement type="hoveredSelectedItemWithData" dxfId="10"/>
            <x14:slicerStyleElement type="hoveredUnselectedItemWithNoData" dxfId="9"/>
            <x14:slicerStyleElement type="hoveredSelectedItemWithNoData" dxfId="8"/>
          </x14:slicerStyleElements>
        </x14:slicerStyle>
        <x14:slicerStyle name="Slicer Style 1"/>
        <x14:slicerStyle name="SlicerStyleDark1 2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solidFill>
                  <a:sysClr val="windowText" lastClr="000000"/>
                </a:solidFill>
              </a:rPr>
              <a:t>Percentages</a:t>
            </a:r>
          </a:p>
        </c:rich>
      </c:tx>
      <c:layout>
        <c:manualLayout>
          <c:xMode val="edge"/>
          <c:yMode val="edge"/>
          <c:x val="6.5359477124185479E-5"/>
          <c:y val="1.30379836501631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'Data for Dashboard'!$F$6</c:f>
              <c:strCache>
                <c:ptCount val="1"/>
                <c:pt idx="0">
                  <c:v>Percentage</c:v>
                </c:pt>
              </c:strCache>
            </c:strRef>
          </c:tx>
          <c:spPr>
            <a:ln w="22225" cap="rnd" cmpd="sng" algn="ctr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'Data for Dashboard'!$E$7:$E$11</c:f>
              <c:strCache>
                <c:ptCount val="5"/>
                <c:pt idx="0">
                  <c:v>Material Tax</c:v>
                </c:pt>
                <c:pt idx="1">
                  <c:v>Overhead &amp; Profit (Material)</c:v>
                </c:pt>
                <c:pt idx="2">
                  <c:v>Overhead &amp; Profit (Labor)</c:v>
                </c:pt>
                <c:pt idx="3">
                  <c:v>Bond Fee</c:v>
                </c:pt>
                <c:pt idx="4">
                  <c:v>OH &amp; P on subnotes</c:v>
                </c:pt>
              </c:strCache>
            </c:strRef>
          </c:cat>
          <c:val>
            <c:numRef>
              <c:f>'Data for Dashboard'!$F$7:$F$11</c:f>
              <c:numCache>
                <c:formatCode>0.0%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 formatCode="0%">
                  <c:v>0.05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0-40A2-A2E3-3C03D796B42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dk1">
                  <a:lumMod val="35000"/>
                  <a:lumOff val="65000"/>
                  <a:alpha val="33000"/>
                </a:schemeClr>
              </a:solidFill>
              <a:round/>
            </a:ln>
            <a:effectLst/>
          </c:spPr>
        </c:dropLines>
        <c:smooth val="0"/>
        <c:axId val="1883904048"/>
        <c:axId val="1883904528"/>
      </c:lineChart>
      <c:catAx>
        <c:axId val="1883904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528"/>
        <c:crosses val="autoZero"/>
        <c:auto val="1"/>
        <c:lblAlgn val="ctr"/>
        <c:lblOffset val="100"/>
        <c:noMultiLvlLbl val="0"/>
      </c:catAx>
      <c:valAx>
        <c:axId val="1883904528"/>
        <c:scaling>
          <c:orientation val="minMax"/>
        </c:scaling>
        <c:delete val="0"/>
        <c:axPos val="l"/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8390404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404632086493623E-2"/>
          <c:y val="0.12097897842288517"/>
          <c:w val="0.79383657791407203"/>
          <c:h val="0.81698759556804557"/>
        </c:manualLayout>
      </c:layout>
      <c:doughnutChart>
        <c:varyColors val="1"/>
        <c:ser>
          <c:idx val="1"/>
          <c:order val="1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F63-4D56-83CB-08E381A43E1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37E-48BA-8C93-16BD3B98DB9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F37E-48BA-8C93-16BD3B98DB9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37E-48BA-8C93-16BD3B98DB9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6-F37E-48BA-8C93-16BD3B98DB9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F37E-48BA-8C93-16BD3B98DB9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37E-48BA-8C93-16BD3B98DB9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'Data for Dashboard'!$B$4:$B$10</c:f>
              <c:strCache>
                <c:ptCount val="7"/>
                <c:pt idx="0">
                  <c:v>Type</c:v>
                </c:pt>
                <c:pt idx="1">
                  <c:v>Material</c:v>
                </c:pt>
                <c:pt idx="2">
                  <c:v>Labor</c:v>
                </c:pt>
                <c:pt idx="3">
                  <c:v>Material Tax</c:v>
                </c:pt>
                <c:pt idx="4">
                  <c:v>Overhead &amp; Profit (Material)</c:v>
                </c:pt>
                <c:pt idx="5">
                  <c:v>Overhead &amp; Profit (Labor)</c:v>
                </c:pt>
                <c:pt idx="6">
                  <c:v>Bond Fee</c:v>
                </c:pt>
              </c:strCache>
            </c:strRef>
          </c:cat>
          <c:val>
            <c:numRef>
              <c:f>'Data for Dashboard'!$D$4:$D$10</c:f>
              <c:numCache>
                <c:formatCode>0%</c:formatCode>
                <c:ptCount val="7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37E-48BA-8C93-16BD3B98DB9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75"/>
        <c:extLst>
          <c:ext xmlns:c15="http://schemas.microsoft.com/office/drawing/2012/chart" uri="{02D57815-91ED-43cb-92C2-25804820EDAC}">
            <c15:filteredPieSeries>
              <c15:ser>
                <c:idx val="0"/>
                <c:order val="0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0F-1F63-4D56-83CB-08E381A43E15}"/>
                    </c:ext>
                  </c:extLst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1-1F63-4D56-83CB-08E381A43E15}"/>
                    </c:ext>
                  </c:extLst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3-1F63-4D56-83CB-08E381A43E15}"/>
                    </c:ext>
                  </c:extLst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5-1F63-4D56-83CB-08E381A43E15}"/>
                    </c:ext>
                  </c:extLst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7-1F63-4D56-83CB-08E381A43E15}"/>
                    </c:ext>
                  </c:extLst>
                </c:dPt>
                <c:dPt>
                  <c:idx val="5"/>
                  <c:bubble3D val="0"/>
                  <c:spPr>
                    <a:solidFill>
                      <a:schemeClr val="accent6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9-1F63-4D56-83CB-08E381A43E15}"/>
                    </c:ext>
                  </c:extLst>
                </c:dPt>
                <c:dPt>
                  <c:idx val="6"/>
                  <c:bubble3D val="0"/>
                  <c:spPr>
                    <a:solidFill>
                      <a:schemeClr val="accent1">
                        <a:lumMod val="60000"/>
                      </a:schemeClr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  <c:extLst>
                    <c:ext xmlns:c16="http://schemas.microsoft.com/office/drawing/2014/chart" uri="{C3380CC4-5D6E-409C-BE32-E72D297353CC}">
                      <c16:uniqueId val="{0000001B-1F63-4D56-83CB-08E381A43E15}"/>
                    </c:ext>
                  </c:extLst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75000"/>
                              <a:lumOff val="2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cat>
                  <c:strRef>
                    <c:extLst>
                      <c:ext uri="{02D57815-91ED-43cb-92C2-25804820EDAC}">
                        <c15:formulaRef>
                          <c15:sqref>'Data for Dashboard'!$B$4:$B$10</c15:sqref>
                        </c15:formulaRef>
                      </c:ext>
                    </c:extLst>
                    <c:strCache>
                      <c:ptCount val="7"/>
                      <c:pt idx="0">
                        <c:v>Type</c:v>
                      </c:pt>
                      <c:pt idx="1">
                        <c:v>Material</c:v>
                      </c:pt>
                      <c:pt idx="2">
                        <c:v>Labor</c:v>
                      </c:pt>
                      <c:pt idx="3">
                        <c:v>Material Tax</c:v>
                      </c:pt>
                      <c:pt idx="4">
                        <c:v>Overhead &amp; Profit (Material)</c:v>
                      </c:pt>
                      <c:pt idx="5">
                        <c:v>Overhead &amp; Profit (Labor)</c:v>
                      </c:pt>
                      <c:pt idx="6">
                        <c:v>Bond Fee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'Data for Dashboard'!$C$4:$C$10</c15:sqref>
                        </c15:formulaRef>
                      </c:ext>
                    </c:extLst>
                    <c:numCache>
                      <c:formatCode>_("$"* #,##0.00_);_("$"* \(#,##0.00\);_("$"* "-"??_);_(@_)</c:formatCode>
                      <c:ptCount val="7"/>
                      <c:pt idx="0" formatCode="General">
                        <c:v>0</c:v>
                      </c:pt>
                      <c:pt idx="1">
                        <c:v>0</c:v>
                      </c:pt>
                      <c:pt idx="2">
                        <c:v>0</c:v>
                      </c:pt>
                      <c:pt idx="3">
                        <c:v>0</c:v>
                      </c:pt>
                      <c:pt idx="4">
                        <c:v>0</c:v>
                      </c:pt>
                      <c:pt idx="5">
                        <c:v>0</c:v>
                      </c:pt>
                      <c:pt idx="6">
                        <c:v>0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F37E-48BA-8C93-16BD3B98DB9F}"/>
                  </c:ext>
                </c:extLst>
              </c15:ser>
            </c15:filteredPieSeries>
          </c:ext>
        </c:extLst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Cost Summary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100000">
                  <a:schemeClr val="accent1">
                    <a:alpha val="0"/>
                  </a:schemeClr>
                </a:gs>
                <a:gs pos="50000">
                  <a:schemeClr val="accent1"/>
                </a:gs>
              </a:gsLst>
              <a:lin ang="5400000" scaled="0"/>
            </a:gra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'COST SUMMARY'!#REF!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'COST SUMMARY'!#REF!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4066-4847-B102-4D9DD2D8C6A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gapDepth val="0"/>
        <c:shape val="box"/>
        <c:axId val="161295776"/>
        <c:axId val="161302016"/>
        <c:axId val="0"/>
      </c:bar3DChart>
      <c:catAx>
        <c:axId val="161295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302016"/>
        <c:crosses val="autoZero"/>
        <c:auto val="1"/>
        <c:lblAlgn val="ctr"/>
        <c:lblOffset val="100"/>
        <c:noMultiLvlLbl val="0"/>
      </c:catAx>
      <c:valAx>
        <c:axId val="16130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1295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/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alpha val="0"/>
            </a:schemeClr>
          </a:gs>
          <a:gs pos="50000">
            <a:schemeClr val="phClr"/>
          </a:gs>
        </a:gsLst>
        <a:lin ang="5400000" scaled="0"/>
      </a:gradFill>
      <a:sp3d/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 flip="none" rotWithShape="1">
        <a:gsLst>
          <a:gs pos="0">
            <a:schemeClr val="phClr"/>
          </a:gs>
          <a:gs pos="75000">
            <a:schemeClr val="phClr">
              <a:lumMod val="60000"/>
              <a:lumOff val="40000"/>
            </a:schemeClr>
          </a:gs>
          <a:gs pos="51000">
            <a:schemeClr val="phClr">
              <a:alpha val="75000"/>
            </a:schemeClr>
          </a:gs>
          <a:gs pos="100000">
            <a:schemeClr val="phClr">
              <a:lumMod val="20000"/>
              <a:lumOff val="80000"/>
              <a:alpha val="15000"/>
            </a:schemeClr>
          </a:gs>
        </a:gsLst>
        <a:lin ang="5400000" scaled="0"/>
      </a:gradFill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  <a:headEnd type="none" w="sm" len="sm"/>
        <a:tailEnd type="none" w="sm" len="sm"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spc="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401083</xdr:colOff>
      <xdr:row>5</xdr:row>
      <xdr:rowOff>2422</xdr:rowOff>
    </xdr:from>
    <xdr:to>
      <xdr:col>3</xdr:col>
      <xdr:colOff>289897</xdr:colOff>
      <xdr:row>9</xdr:row>
      <xdr:rowOff>167775</xdr:rowOff>
    </xdr:to>
    <xdr:sp macro="" textlink="'COST SUMMARY'!D5">
      <xdr:nvSpPr>
        <xdr:cNvPr id="12" name="Rectangle: Rounded Corners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401083" y="1051293"/>
          <a:ext cx="2094132" cy="103492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1902EB2D-1498-4DCC-B054-4F51250BA9B8}" type="TxLink">
            <a:rPr lang="en-US" sz="1200" b="1" i="0" u="none" strike="noStrike">
              <a:solidFill>
                <a:schemeClr val="tx1"/>
              </a:solidFill>
              <a:latin typeface="+mn-lt"/>
              <a:cs typeface="Segoe UI" panose="020B0502040204020203" pitchFamily="34" charset="0"/>
            </a:rPr>
            <a:pPr algn="ctr"/>
            <a:t>Cline Mission Propities</a:t>
          </a:fld>
          <a:endParaRPr lang="ur-PK" sz="10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7620</xdr:colOff>
      <xdr:row>10</xdr:row>
      <xdr:rowOff>121920</xdr:rowOff>
    </xdr:from>
    <xdr:to>
      <xdr:col>18</xdr:col>
      <xdr:colOff>685800</xdr:colOff>
      <xdr:row>10</xdr:row>
      <xdr:rowOff>121920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7620" y="2232660"/>
          <a:ext cx="1384554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7620</xdr:colOff>
      <xdr:row>4</xdr:row>
      <xdr:rowOff>99060</xdr:rowOff>
    </xdr:from>
    <xdr:to>
      <xdr:col>18</xdr:col>
      <xdr:colOff>685800</xdr:colOff>
      <xdr:row>4</xdr:row>
      <xdr:rowOff>99060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7620" y="943610"/>
          <a:ext cx="13682980" cy="0"/>
        </a:xfrm>
        <a:prstGeom prst="line">
          <a:avLst/>
        </a:prstGeom>
        <a:ln>
          <a:solidFill>
            <a:schemeClr val="bg1">
              <a:lumMod val="50000"/>
            </a:schemeClr>
          </a:solidFill>
        </a:ln>
      </xdr:spPr>
      <xdr:style>
        <a:lnRef idx="2">
          <a:schemeClr val="accent4"/>
        </a:lnRef>
        <a:fillRef idx="0">
          <a:schemeClr val="accent4"/>
        </a:fillRef>
        <a:effectRef idx="1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383268</xdr:colOff>
      <xdr:row>22</xdr:row>
      <xdr:rowOff>190500</xdr:rowOff>
    </xdr:from>
    <xdr:to>
      <xdr:col>7</xdr:col>
      <xdr:colOff>371930</xdr:colOff>
      <xdr:row>37</xdr:row>
      <xdr:rowOff>4884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absolute">
    <xdr:from>
      <xdr:col>3</xdr:col>
      <xdr:colOff>439270</xdr:colOff>
      <xdr:row>4</xdr:row>
      <xdr:rowOff>181717</xdr:rowOff>
    </xdr:from>
    <xdr:to>
      <xdr:col>6</xdr:col>
      <xdr:colOff>345230</xdr:colOff>
      <xdr:row>9</xdr:row>
      <xdr:rowOff>149846</xdr:rowOff>
    </xdr:to>
    <xdr:sp macro="" textlink="'COST SUMMARY'!D4">
      <xdr:nvSpPr>
        <xdr:cNvPr id="20" name="Rectangle: Rounded Corners 1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2644588" y="1033364"/>
          <a:ext cx="2111277" cy="1034929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0DEE40F-1C4B-48F8-9CE2-D2E98DABD0E4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23/02/2026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</xdr:col>
      <xdr:colOff>453571</xdr:colOff>
      <xdr:row>8</xdr:row>
      <xdr:rowOff>27214</xdr:rowOff>
    </xdr:from>
    <xdr:ext cx="184731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170214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1100">
            <a:latin typeface="+mn-lt"/>
          </a:endParaRPr>
        </a:p>
      </xdr:txBody>
    </xdr:sp>
    <xdr:clientData/>
  </xdr:oneCellAnchor>
  <xdr:twoCellAnchor editAs="absolute">
    <xdr:from>
      <xdr:col>6</xdr:col>
      <xdr:colOff>477883</xdr:colOff>
      <xdr:row>5</xdr:row>
      <xdr:rowOff>2</xdr:rowOff>
    </xdr:from>
    <xdr:to>
      <xdr:col>9</xdr:col>
      <xdr:colOff>360982</xdr:colOff>
      <xdr:row>9</xdr:row>
      <xdr:rowOff>167777</xdr:rowOff>
    </xdr:to>
    <xdr:sp macro="" textlink="'COST SUMMARY'!L6">
      <xdr:nvSpPr>
        <xdr:cNvPr id="23" name="Rectangle: Rounded Corners 1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4762500" y="1043216"/>
          <a:ext cx="2048268" cy="100996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83A79BE-2A4A-4D76-8606-07A6EEE87078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 $4,144,981 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9</xdr:col>
      <xdr:colOff>474617</xdr:colOff>
      <xdr:row>5</xdr:row>
      <xdr:rowOff>20502</xdr:rowOff>
    </xdr:from>
    <xdr:to>
      <xdr:col>12</xdr:col>
      <xdr:colOff>397722</xdr:colOff>
      <xdr:row>9</xdr:row>
      <xdr:rowOff>174942</xdr:rowOff>
    </xdr:to>
    <xdr:sp macro="" textlink="'COST SUMMARY'!L4">
      <xdr:nvSpPr>
        <xdr:cNvPr id="32" name="Rectangle: Rounded Corners 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939643" y="1052286"/>
          <a:ext cx="2048268" cy="100996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25C55B40-6FC2-4CEC-A10E-300B3D7CAB5B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Private (Non-Prevailing wage)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12</xdr:col>
      <xdr:colOff>515620</xdr:colOff>
      <xdr:row>5</xdr:row>
      <xdr:rowOff>20502</xdr:rowOff>
    </xdr:from>
    <xdr:to>
      <xdr:col>15</xdr:col>
      <xdr:colOff>398719</xdr:colOff>
      <xdr:row>9</xdr:row>
      <xdr:rowOff>174942</xdr:rowOff>
    </xdr:to>
    <xdr:sp macro="" textlink="'COST SUMMARY'!D6">
      <xdr:nvSpPr>
        <xdr:cNvPr id="33" name="Rectangle: Rounded Corners 1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9107714" y="1052286"/>
          <a:ext cx="2048268" cy="1009967"/>
        </a:xfrm>
        <a:prstGeom prst="rect">
          <a:avLst/>
        </a:prstGeom>
        <a:solidFill>
          <a:schemeClr val="accent2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D0C76CD0-574D-4B99-BABE-CA94C7F33062}" type="TxLink">
            <a:rPr lang="en-US" sz="12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Stumptown Rd, Huntersville</a:t>
          </a:fld>
          <a:endParaRPr lang="ur-PK" sz="10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 editAs="absolute">
    <xdr:from>
      <xdr:col>15</xdr:col>
      <xdr:colOff>535213</xdr:colOff>
      <xdr:row>5</xdr:row>
      <xdr:rowOff>20502</xdr:rowOff>
    </xdr:from>
    <xdr:to>
      <xdr:col>18</xdr:col>
      <xdr:colOff>342838</xdr:colOff>
      <xdr:row>9</xdr:row>
      <xdr:rowOff>174942</xdr:rowOff>
    </xdr:to>
    <xdr:sp macro="" textlink="'COST SUMMARY'!L5">
      <xdr:nvSpPr>
        <xdr:cNvPr id="34" name="Rectangle: Rounded Corners 1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11284856" y="1052286"/>
          <a:ext cx="2048268" cy="1009967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5">
            <a:shade val="15000"/>
          </a:schemeClr>
        </a:lnRef>
        <a:fillRef idx="1">
          <a:schemeClr val="accent5"/>
        </a:fillRef>
        <a:effectRef idx="0">
          <a:schemeClr val="accent5"/>
        </a:effectRef>
        <a:fontRef idx="minor">
          <a:schemeClr val="lt1"/>
        </a:fontRef>
      </xdr:style>
      <xdr:txBody>
        <a:bodyPr vertOverflow="clip" horzOverflow="clip" tIns="45720" rtlCol="1" anchor="ctr" anchorCtr="0"/>
        <a:lstStyle/>
        <a:p>
          <a:pPr algn="ctr"/>
          <a:fld id="{735D94A9-28B8-4AFD-8E4F-1980FA0F140C}" type="TxLink">
            <a:rPr lang="en-US" sz="1600" b="1" i="0" u="none" strike="noStrike">
              <a:solidFill>
                <a:sysClr val="windowText" lastClr="000000"/>
              </a:solidFill>
              <a:latin typeface="+mn-lt"/>
              <a:ea typeface="Cambria"/>
              <a:cs typeface="Segoe UI" panose="020B0502040204020203" pitchFamily="34" charset="0"/>
            </a:rPr>
            <a:pPr algn="ctr"/>
            <a:t>Painting</a:t>
          </a:fld>
          <a:endParaRPr lang="ur-PK" sz="11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0</xdr:col>
      <xdr:colOff>423854</xdr:colOff>
      <xdr:row>5</xdr:row>
      <xdr:rowOff>1970</xdr:rowOff>
    </xdr:from>
    <xdr:ext cx="1053237" cy="280205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23854" y="1026729"/>
          <a:ext cx="1053237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latin typeface="+mn-lt"/>
              <a:cs typeface="Segoe UI" panose="020B0502040204020203" pitchFamily="34" charset="0"/>
            </a:rPr>
            <a:t>Project Name</a:t>
          </a:r>
        </a:p>
      </xdr:txBody>
    </xdr:sp>
    <xdr:clientData/>
  </xdr:oneCellAnchor>
  <xdr:oneCellAnchor>
    <xdr:from>
      <xdr:col>3</xdr:col>
      <xdr:colOff>444499</xdr:colOff>
      <xdr:row>4</xdr:row>
      <xdr:rowOff>190874</xdr:rowOff>
    </xdr:from>
    <xdr:ext cx="488467" cy="280205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2696881" y="1020109"/>
          <a:ext cx="488467" cy="28020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Date</a:t>
          </a:r>
        </a:p>
      </xdr:txBody>
    </xdr:sp>
    <xdr:clientData/>
  </xdr:oneCellAnchor>
  <xdr:oneCellAnchor>
    <xdr:from>
      <xdr:col>6</xdr:col>
      <xdr:colOff>469899</xdr:colOff>
      <xdr:row>4</xdr:row>
      <xdr:rowOff>190874</xdr:rowOff>
    </xdr:from>
    <xdr:ext cx="727122" cy="280205"/>
    <xdr:sp macro="" textlink="">
      <xdr:nvSpPr>
        <xdr:cNvPr id="39" name="TextBox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974664" y="1020109"/>
          <a:ext cx="727122" cy="280205"/>
        </a:xfrm>
        <a:prstGeom prst="rect">
          <a:avLst/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Base</a:t>
          </a:r>
          <a:r>
            <a:rPr lang="en-US" sz="1200" b="1">
              <a:solidFill>
                <a:schemeClr val="bg1"/>
              </a:solidFill>
              <a:latin typeface="+mn-lt"/>
              <a:cs typeface="Segoe UI" panose="020B0502040204020203" pitchFamily="34" charset="0"/>
            </a:rPr>
            <a:t> </a:t>
          </a:r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Bid</a:t>
          </a:r>
        </a:p>
      </xdr:txBody>
    </xdr:sp>
    <xdr:clientData/>
  </xdr:oneCellAnchor>
  <xdr:oneCellAnchor>
    <xdr:from>
      <xdr:col>9</xdr:col>
      <xdr:colOff>463549</xdr:colOff>
      <xdr:row>4</xdr:row>
      <xdr:rowOff>195730</xdr:rowOff>
    </xdr:from>
    <xdr:ext cx="982385" cy="280205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7220696" y="1024965"/>
          <a:ext cx="982385" cy="280205"/>
        </a:xfrm>
        <a:prstGeom prst="rect">
          <a:avLst/>
        </a:prstGeom>
        <a:solidFill>
          <a:schemeClr val="tx2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Project</a:t>
          </a:r>
          <a:r>
            <a:rPr lang="en-US" sz="1200" b="1" baseline="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 Type</a:t>
          </a:r>
          <a:endParaRPr lang="en-US" sz="1200" b="1">
            <a:solidFill>
              <a:sysClr val="windowText" lastClr="000000"/>
            </a:solidFill>
            <a:latin typeface="+mn-lt"/>
            <a:cs typeface="Segoe UI" panose="020B0502040204020203" pitchFamily="34" charset="0"/>
          </a:endParaRPr>
        </a:p>
      </xdr:txBody>
    </xdr:sp>
    <xdr:clientData/>
  </xdr:oneCellAnchor>
  <xdr:oneCellAnchor>
    <xdr:from>
      <xdr:col>12</xdr:col>
      <xdr:colOff>489825</xdr:colOff>
      <xdr:row>4</xdr:row>
      <xdr:rowOff>194236</xdr:rowOff>
    </xdr:from>
    <xdr:ext cx="697948" cy="280205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9554997" y="1021926"/>
          <a:ext cx="697948" cy="280205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Address</a:t>
          </a:r>
        </a:p>
      </xdr:txBody>
    </xdr:sp>
    <xdr:clientData/>
  </xdr:oneCellAnchor>
  <xdr:oneCellAnchor>
    <xdr:from>
      <xdr:col>15</xdr:col>
      <xdr:colOff>520700</xdr:colOff>
      <xdr:row>5</xdr:row>
      <xdr:rowOff>1868</xdr:rowOff>
    </xdr:from>
    <xdr:ext cx="1116268" cy="280205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11782612" y="1032809"/>
          <a:ext cx="1116268" cy="280205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200" b="1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rPr>
            <a:t>Scope of Work</a:t>
          </a:r>
        </a:p>
      </xdr:txBody>
    </xdr:sp>
    <xdr:clientData/>
  </xdr:oneCellAnchor>
  <xdr:twoCellAnchor>
    <xdr:from>
      <xdr:col>10</xdr:col>
      <xdr:colOff>352962</xdr:colOff>
      <xdr:row>37</xdr:row>
      <xdr:rowOff>122051</xdr:rowOff>
    </xdr:from>
    <xdr:to>
      <xdr:col>16</xdr:col>
      <xdr:colOff>188851</xdr:colOff>
      <xdr:row>40</xdr:row>
      <xdr:rowOff>58551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7511144" y="7672778"/>
          <a:ext cx="4176980" cy="5253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0</xdr:col>
      <xdr:colOff>705972</xdr:colOff>
      <xdr:row>37</xdr:row>
      <xdr:rowOff>56030</xdr:rowOff>
    </xdr:from>
    <xdr:to>
      <xdr:col>7</xdr:col>
      <xdr:colOff>365646</xdr:colOff>
      <xdr:row>40</xdr:row>
      <xdr:rowOff>59691</xdr:rowOff>
    </xdr:to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705972" y="7563971"/>
          <a:ext cx="4836792" cy="597573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800" b="1">
            <a:solidFill>
              <a:schemeClr val="tx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15</xdr:col>
      <xdr:colOff>28516</xdr:colOff>
      <xdr:row>11</xdr:row>
      <xdr:rowOff>223316</xdr:rowOff>
    </xdr:from>
    <xdr:to>
      <xdr:col>18</xdr:col>
      <xdr:colOff>304521</xdr:colOff>
      <xdr:row>14</xdr:row>
      <xdr:rowOff>97042</xdr:rowOff>
    </xdr:to>
    <xdr:sp macro="" textlink="'COST SUMMARY'!#REF!">
      <xdr:nvSpPr>
        <xdr:cNvPr id="15" name="Rectang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1315641" y="2518841"/>
          <a:ext cx="2609630" cy="559526"/>
        </a:xfrm>
        <a:prstGeom prst="rect">
          <a:avLst/>
        </a:prstGeom>
        <a:solidFill>
          <a:schemeClr val="accent2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2AF80FDA-E973-421C-82E6-1CE4A90EAF8A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$44,139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twoCellAnchor>
    <xdr:from>
      <xdr:col>7</xdr:col>
      <xdr:colOff>598025</xdr:colOff>
      <xdr:row>11</xdr:row>
      <xdr:rowOff>228600</xdr:rowOff>
    </xdr:from>
    <xdr:to>
      <xdr:col>14</xdr:col>
      <xdr:colOff>598715</xdr:colOff>
      <xdr:row>37</xdr:row>
      <xdr:rowOff>161925</xdr:rowOff>
    </xdr:to>
    <xdr:graphicFrame macro="">
      <xdr:nvGraphicFramePr>
        <xdr:cNvPr id="54" name="Chart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15</xdr:col>
      <xdr:colOff>20469</xdr:colOff>
      <xdr:row>11</xdr:row>
      <xdr:rowOff>225460</xdr:rowOff>
    </xdr:from>
    <xdr:ext cx="1536661" cy="602799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11326230" y="2519743"/>
          <a:ext cx="1536661" cy="60279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</a:p>
      </xdr:txBody>
    </xdr:sp>
    <xdr:clientData/>
  </xdr:oneCellAnchor>
  <xdr:twoCellAnchor>
    <xdr:from>
      <xdr:col>15</xdr:col>
      <xdr:colOff>43928</xdr:colOff>
      <xdr:row>16</xdr:row>
      <xdr:rowOff>61598</xdr:rowOff>
    </xdr:from>
    <xdr:to>
      <xdr:col>18</xdr:col>
      <xdr:colOff>319933</xdr:colOff>
      <xdr:row>19</xdr:row>
      <xdr:rowOff>22410</xdr:rowOff>
    </xdr:to>
    <xdr:sp macro="" textlink="'COST SUMMARY'!#REF!">
      <xdr:nvSpPr>
        <xdr:cNvPr id="56" name="Rectang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10984071" y="3425284"/>
          <a:ext cx="2551119" cy="548640"/>
        </a:xfrm>
        <a:prstGeom prst="rect">
          <a:avLst/>
        </a:prstGeom>
        <a:solidFill>
          <a:schemeClr val="accent3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1DF2909F-5ADE-4FB0-BDC2-66594137DBF8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$106,985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16</xdr:row>
      <xdr:rowOff>54797</xdr:rowOff>
    </xdr:from>
    <xdr:ext cx="1512473" cy="557784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11341642" y="3450667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</a:t>
          </a:r>
        </a:p>
      </xdr:txBody>
    </xdr:sp>
    <xdr:clientData/>
  </xdr:oneCellAnchor>
  <xdr:twoCellAnchor>
    <xdr:from>
      <xdr:col>15</xdr:col>
      <xdr:colOff>43928</xdr:colOff>
      <xdr:row>20</xdr:row>
      <xdr:rowOff>182909</xdr:rowOff>
    </xdr:from>
    <xdr:to>
      <xdr:col>18</xdr:col>
      <xdr:colOff>319933</xdr:colOff>
      <xdr:row>23</xdr:row>
      <xdr:rowOff>78406</xdr:rowOff>
    </xdr:to>
    <xdr:sp macro="" textlink="'COST SUMMARY'!#REF!">
      <xdr:nvSpPr>
        <xdr:cNvPr id="58" name="Rectang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10984071" y="4330366"/>
          <a:ext cx="2551119" cy="54864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56C18716-F7A6-468B-B58C-561736995BB2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$3,077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20</xdr:row>
      <xdr:rowOff>184391</xdr:rowOff>
    </xdr:from>
    <xdr:ext cx="1512473" cy="557784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11008681" y="436015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 Tax</a:t>
          </a:r>
        </a:p>
      </xdr:txBody>
    </xdr:sp>
    <xdr:clientData/>
  </xdr:oneCellAnchor>
  <xdr:twoCellAnchor>
    <xdr:from>
      <xdr:col>15</xdr:col>
      <xdr:colOff>54814</xdr:colOff>
      <xdr:row>25</xdr:row>
      <xdr:rowOff>42962</xdr:rowOff>
    </xdr:from>
    <xdr:to>
      <xdr:col>18</xdr:col>
      <xdr:colOff>330819</xdr:colOff>
      <xdr:row>27</xdr:row>
      <xdr:rowOff>167059</xdr:rowOff>
    </xdr:to>
    <xdr:sp macro="" textlink="'COST SUMMARY'!#REF!">
      <xdr:nvSpPr>
        <xdr:cNvPr id="60" name="Rectang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/>
      </xdr:nvSpPr>
      <xdr:spPr>
        <a:xfrm>
          <a:off x="10994957" y="5235448"/>
          <a:ext cx="2551119" cy="54864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050ACC7F-05D1-4092-856F-9A0FA36A0215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$8,828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25</xdr:row>
      <xdr:rowOff>44444</xdr:rowOff>
    </xdr:from>
    <xdr:ext cx="1512473" cy="557784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11019567" y="5271764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Material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Profit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15</xdr:col>
      <xdr:colOff>54814</xdr:colOff>
      <xdr:row>29</xdr:row>
      <xdr:rowOff>131616</xdr:rowOff>
    </xdr:from>
    <xdr:to>
      <xdr:col>18</xdr:col>
      <xdr:colOff>330819</xdr:colOff>
      <xdr:row>32</xdr:row>
      <xdr:rowOff>92427</xdr:rowOff>
    </xdr:to>
    <xdr:sp macro="" textlink="'COST SUMMARY'!#REF!">
      <xdr:nvSpPr>
        <xdr:cNvPr id="62" name="Rectang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/>
      </xdr:nvSpPr>
      <xdr:spPr>
        <a:xfrm>
          <a:off x="10994957" y="6140530"/>
          <a:ext cx="2551119" cy="548640"/>
        </a:xfrm>
        <a:prstGeom prst="rect">
          <a:avLst/>
        </a:prstGeom>
        <a:solidFill>
          <a:schemeClr val="accent1">
            <a:lumMod val="60000"/>
            <a:lumOff val="40000"/>
          </a:schemeClr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A9EAC16A-A07E-41B0-A80A-8BA3141E54C0}" type="TxLink">
            <a:rPr lang="en-US" sz="1200" b="1" i="0" u="none" strike="noStrike">
              <a:solidFill>
                <a:schemeClr val="bg1"/>
              </a:solidFill>
              <a:latin typeface="+mn-lt"/>
              <a:ea typeface="Cambria"/>
              <a:cs typeface="Times New Roman"/>
            </a:rPr>
            <a:pPr algn="r"/>
            <a:t> $21,397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46767</xdr:colOff>
      <xdr:row>29</xdr:row>
      <xdr:rowOff>133098</xdr:rowOff>
    </xdr:from>
    <xdr:ext cx="1512473" cy="557784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11019567" y="6183378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Labor Profit</a:t>
          </a:r>
        </a:p>
      </xdr:txBody>
    </xdr:sp>
    <xdr:clientData/>
  </xdr:oneCellAnchor>
  <xdr:twoCellAnchor>
    <xdr:from>
      <xdr:col>15</xdr:col>
      <xdr:colOff>43928</xdr:colOff>
      <xdr:row>34</xdr:row>
      <xdr:rowOff>13439</xdr:rowOff>
    </xdr:from>
    <xdr:to>
      <xdr:col>18</xdr:col>
      <xdr:colOff>319933</xdr:colOff>
      <xdr:row>36</xdr:row>
      <xdr:rowOff>170193</xdr:rowOff>
    </xdr:to>
    <xdr:sp macro="" textlink="'BUILDING 1'!R220">
      <xdr:nvSpPr>
        <xdr:cNvPr id="64" name="Rectang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/>
      </xdr:nvSpPr>
      <xdr:spPr>
        <a:xfrm>
          <a:off x="10984071" y="7045610"/>
          <a:ext cx="2551119" cy="548640"/>
        </a:xfrm>
        <a:prstGeom prst="rect">
          <a:avLst/>
        </a:prstGeom>
        <a:solidFill>
          <a:srgbClr val="996600"/>
        </a:solidFill>
        <a:ln>
          <a:noFill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1" anchor="ctr"/>
        <a:lstStyle/>
        <a:p>
          <a:pPr algn="r"/>
          <a:fld id="{45A2797F-00D5-42F5-9898-110879AFFCDD}" type="TxLink">
            <a:rPr lang="en-US" sz="1200" b="1" i="0" u="none" strike="noStrike">
              <a:solidFill>
                <a:schemeClr val="bg1"/>
              </a:solidFill>
              <a:latin typeface="+mn-lt"/>
              <a:cs typeface="Calibri"/>
            </a:rPr>
            <a:pPr algn="r"/>
            <a:t> $9,489 </a:t>
          </a:fld>
          <a:endParaRPr lang="ur-PK" sz="3600" b="1">
            <a:solidFill>
              <a:schemeClr val="bg1"/>
            </a:solidFill>
            <a:latin typeface="+mn-lt"/>
            <a:cs typeface="Segoe UI" panose="020B0502040204020203" pitchFamily="34" charset="0"/>
          </a:endParaRPr>
        </a:p>
      </xdr:txBody>
    </xdr:sp>
    <xdr:clientData/>
  </xdr:twoCellAnchor>
  <xdr:oneCellAnchor>
    <xdr:from>
      <xdr:col>15</xdr:col>
      <xdr:colOff>35881</xdr:colOff>
      <xdr:row>34</xdr:row>
      <xdr:rowOff>14921</xdr:rowOff>
    </xdr:from>
    <xdr:ext cx="1512473" cy="557784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11008681" y="7101521"/>
          <a:ext cx="1512473" cy="557784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noAutofit/>
        </a:bodyPr>
        <a:lstStyle/>
        <a:p>
          <a:r>
            <a:rPr lang="en-US" sz="1400" b="1">
              <a:latin typeface="+mn-lt"/>
              <a:cs typeface="Segoe UI" panose="020B0502040204020203" pitchFamily="34" charset="0"/>
            </a:rPr>
            <a:t>Bond</a:t>
          </a:r>
          <a:r>
            <a:rPr lang="en-US" sz="1400" b="1" baseline="0">
              <a:latin typeface="+mn-lt"/>
              <a:cs typeface="Segoe UI" panose="020B0502040204020203" pitchFamily="34" charset="0"/>
            </a:rPr>
            <a:t> Fee</a:t>
          </a:r>
          <a:endParaRPr lang="en-US" sz="1400" b="1">
            <a:latin typeface="+mn-lt"/>
            <a:cs typeface="Segoe UI" panose="020B0502040204020203" pitchFamily="34" charset="0"/>
          </a:endParaRPr>
        </a:p>
      </xdr:txBody>
    </xdr:sp>
    <xdr:clientData/>
  </xdr:oneCellAnchor>
  <xdr:twoCellAnchor>
    <xdr:from>
      <xdr:col>0</xdr:col>
      <xdr:colOff>426720</xdr:colOff>
      <xdr:row>12</xdr:row>
      <xdr:rowOff>95281</xdr:rowOff>
    </xdr:from>
    <xdr:to>
      <xdr:col>7</xdr:col>
      <xdr:colOff>237156</xdr:colOff>
      <xdr:row>21</xdr:row>
      <xdr:rowOff>68580</xdr:rowOff>
    </xdr:to>
    <xdr:grpSp>
      <xdr:nvGrpSpPr>
        <xdr:cNvPr id="69" name="Group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GrpSpPr/>
      </xdr:nvGrpSpPr>
      <xdr:grpSpPr>
        <a:xfrm>
          <a:off x="426720" y="2664310"/>
          <a:ext cx="4992036" cy="1769441"/>
          <a:chOff x="628858" y="2663813"/>
          <a:chExt cx="4729061" cy="2268533"/>
        </a:xfrm>
      </xdr:grpSpPr>
      <xdr:sp macro="" textlink="">
        <xdr:nvSpPr>
          <xdr:cNvPr id="70" name="Freeform: Shape 69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/>
        </xdr:nvSpPr>
        <xdr:spPr>
          <a:xfrm>
            <a:off x="635074" y="267467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Base Bid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'COST SUMMARY'!L6">
        <xdr:nvSpPr>
          <xdr:cNvPr id="72" name="Freeform: Shape 71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/>
        </xdr:nvSpPr>
        <xdr:spPr>
          <a:xfrm>
            <a:off x="3030933" y="2663813"/>
            <a:ext cx="2326986" cy="512953"/>
          </a:xfrm>
          <a:custGeom>
            <a:avLst/>
            <a:gdLst>
              <a:gd name="connsiteX0" fmla="*/ 0 w 2077736"/>
              <a:gd name="connsiteY0" fmla="*/ 0 h 512953"/>
              <a:gd name="connsiteX1" fmla="*/ 2077736 w 2077736"/>
              <a:gd name="connsiteY1" fmla="*/ 0 h 512953"/>
              <a:gd name="connsiteX2" fmla="*/ 2077736 w 2077736"/>
              <a:gd name="connsiteY2" fmla="*/ 512953 h 512953"/>
              <a:gd name="connsiteX3" fmla="*/ 0 w 2077736"/>
              <a:gd name="connsiteY3" fmla="*/ 512953 h 512953"/>
              <a:gd name="connsiteX4" fmla="*/ 0 w 2077736"/>
              <a:gd name="connsiteY4" fmla="*/ 0 h 512953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077736" h="512953">
                <a:moveTo>
                  <a:pt x="0" y="0"/>
                </a:moveTo>
                <a:lnTo>
                  <a:pt x="2077736" y="0"/>
                </a:lnTo>
                <a:lnTo>
                  <a:pt x="2077736" y="512953"/>
                </a:lnTo>
                <a:lnTo>
                  <a:pt x="0" y="512953"/>
                </a:lnTo>
                <a:lnTo>
                  <a:pt x="0" y="0"/>
                </a:lnTo>
                <a:close/>
              </a:path>
            </a:pathLst>
          </a:custGeom>
          <a:noFill/>
        </xdr:spPr>
        <xdr:style>
          <a:lnRef idx="2">
            <a:schemeClr val="lt1">
              <a:hueOff val="0"/>
              <a:satOff val="0"/>
              <a:lumOff val="0"/>
              <a:alphaOff val="0"/>
            </a:schemeClr>
          </a:lnRef>
          <a:fillRef idx="1">
            <a:schemeClr val="accent1">
              <a:hueOff val="0"/>
              <a:satOff val="0"/>
              <a:lumOff val="0"/>
              <a:alphaOff val="0"/>
            </a:schemeClr>
          </a:fillRef>
          <a:effectRef idx="0">
            <a:schemeClr val="accent1">
              <a:hueOff val="0"/>
              <a:satOff val="0"/>
              <a:lumOff val="0"/>
              <a:alphaOff val="0"/>
            </a:schemeClr>
          </a:effectRef>
          <a:fontRef idx="minor">
            <a:schemeClr val="lt1"/>
          </a:fontRef>
        </xdr:style>
        <xdr:txBody>
          <a:bodyPr spcFirstLastPara="0" vert="horz" wrap="square" lIns="175260" tIns="175260" rIns="175260" bIns="175260" numCol="1" spcCol="1270" anchor="ctr" anchorCtr="0">
            <a:noAutofit/>
          </a:bodyPr>
          <a:lstStyle/>
          <a:p>
            <a:pPr algn="r" rtl="0"/>
            <a:fld id="{EF0E5032-ACC1-48BA-B044-A52855ED3431}" type="TxLink">
              <a:rPr lang="en-US" sz="1600" b="1" i="0" u="none" strike="noStrike">
                <a:solidFill>
                  <a:srgbClr val="000000"/>
                </a:solidFill>
                <a:effectLst/>
                <a:latin typeface="Calibri"/>
                <a:ea typeface="Calibri"/>
                <a:cs typeface="Calibri"/>
              </a:rPr>
              <a:pPr algn="r" rtl="0"/>
              <a:t> $4,144,981 </a:t>
            </a:fld>
            <a:endParaRPr lang="ur-PK" sz="1600" b="1">
              <a:solidFill>
                <a:sysClr val="windowText" lastClr="000000"/>
              </a:solidFill>
              <a:effectLst/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3" name="Freeform: Shape 7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/>
        </xdr:nvSpPr>
        <xdr:spPr>
          <a:xfrm>
            <a:off x="628858" y="3547248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By Others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  <xdr:sp macro="" textlink="">
        <xdr:nvSpPr>
          <xdr:cNvPr id="76" name="Freeform: Shape 75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/>
        </xdr:nvSpPr>
        <xdr:spPr>
          <a:xfrm>
            <a:off x="628858" y="4419823"/>
            <a:ext cx="2287725" cy="512523"/>
          </a:xfrm>
          <a:custGeom>
            <a:avLst/>
            <a:gdLst>
              <a:gd name="connsiteX0" fmla="*/ 0 w 2287725"/>
              <a:gd name="connsiteY0" fmla="*/ 0 h 910800"/>
              <a:gd name="connsiteX1" fmla="*/ 2287725 w 2287725"/>
              <a:gd name="connsiteY1" fmla="*/ 0 h 910800"/>
              <a:gd name="connsiteX2" fmla="*/ 2287725 w 2287725"/>
              <a:gd name="connsiteY2" fmla="*/ 910800 h 910800"/>
              <a:gd name="connsiteX3" fmla="*/ 0 w 2287725"/>
              <a:gd name="connsiteY3" fmla="*/ 910800 h 910800"/>
              <a:gd name="connsiteX4" fmla="*/ 0 w 2287725"/>
              <a:gd name="connsiteY4" fmla="*/ 0 h 9108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  <a:cxn ang="0">
                <a:pos x="connsiteX4" y="connsiteY4"/>
              </a:cxn>
            </a:cxnLst>
            <a:rect l="l" t="t" r="r" b="b"/>
            <a:pathLst>
              <a:path w="2287725" h="910800">
                <a:moveTo>
                  <a:pt x="0" y="0"/>
                </a:moveTo>
                <a:lnTo>
                  <a:pt x="2287725" y="0"/>
                </a:lnTo>
                <a:lnTo>
                  <a:pt x="2287725" y="910800"/>
                </a:lnTo>
                <a:lnTo>
                  <a:pt x="0" y="910800"/>
                </a:lnTo>
                <a:lnTo>
                  <a:pt x="0" y="0"/>
                </a:lnTo>
                <a:close/>
              </a:path>
            </a:pathLst>
          </a:custGeom>
          <a:solidFill>
            <a:srgbClr val="DDEBF7"/>
          </a:solidFill>
        </xdr:spPr>
        <xdr:style>
          <a:lnRef idx="0">
            <a:schemeClr val="dk1">
              <a:alpha val="0"/>
              <a:hueOff val="0"/>
              <a:satOff val="0"/>
              <a:lumOff val="0"/>
              <a:alphaOff val="0"/>
            </a:schemeClr>
          </a:lnRef>
          <a:fillRef idx="0">
            <a:schemeClr val="lt1">
              <a:alpha val="0"/>
              <a:hueOff val="0"/>
              <a:satOff val="0"/>
              <a:lumOff val="0"/>
              <a:alphaOff val="0"/>
            </a:schemeClr>
          </a:fillRef>
          <a:effectRef idx="0">
            <a:schemeClr val="lt1">
              <a:alpha val="0"/>
              <a:hueOff val="0"/>
              <a:satOff val="0"/>
              <a:lumOff val="0"/>
              <a:alphaOff val="0"/>
            </a:schemeClr>
          </a:effectRef>
          <a:fontRef idx="minor">
            <a:schemeClr val="tx1">
              <a:hueOff val="0"/>
              <a:satOff val="0"/>
              <a:lumOff val="0"/>
              <a:alphaOff val="0"/>
            </a:schemeClr>
          </a:fontRef>
        </xdr:style>
        <xdr:txBody>
          <a:bodyPr spcFirstLastPara="0" vert="horz" wrap="square" lIns="142240" tIns="50800" rIns="142240" bIns="50800" numCol="1" spcCol="1270" anchor="ctr" anchorCtr="0">
            <a:noAutofit/>
          </a:bodyPr>
          <a:lstStyle/>
          <a:p>
            <a:pPr marL="0" lvl="0" indent="0" algn="l" defTabSz="889000" rtl="0">
              <a:lnSpc>
                <a:spcPct val="90000"/>
              </a:lnSpc>
              <a:spcBef>
                <a:spcPct val="0"/>
              </a:spcBef>
              <a:spcAft>
                <a:spcPct val="35000"/>
              </a:spcAft>
              <a:buNone/>
            </a:pPr>
            <a:r>
              <a:rPr lang="en-US" sz="1600" b="1" kern="1200">
                <a:solidFill>
                  <a:sysClr val="windowText" lastClr="000000"/>
                </a:solidFill>
                <a:latin typeface="+mn-lt"/>
                <a:cs typeface="Segoe UI" panose="020B0502040204020203" pitchFamily="34" charset="0"/>
              </a:rPr>
              <a:t>Separate Permit</a:t>
            </a:r>
            <a:endParaRPr lang="ur-PK" sz="1600" b="1" kern="1200">
              <a:solidFill>
                <a:sysClr val="windowText" lastClr="000000"/>
              </a:solidFill>
              <a:latin typeface="+mn-lt"/>
              <a:cs typeface="Segoe UI" panose="020B0502040204020203" pitchFamily="34" charset="0"/>
            </a:endParaRPr>
          </a:p>
        </xdr:txBody>
      </xdr:sp>
    </xdr:grpSp>
    <xdr:clientData/>
  </xdr:twoCellAnchor>
  <xdr:twoCellAnchor>
    <xdr:from>
      <xdr:col>0</xdr:col>
      <xdr:colOff>268941</xdr:colOff>
      <xdr:row>38</xdr:row>
      <xdr:rowOff>78440</xdr:rowOff>
    </xdr:from>
    <xdr:to>
      <xdr:col>18</xdr:col>
      <xdr:colOff>403411</xdr:colOff>
      <xdr:row>75</xdr:row>
      <xdr:rowOff>112058</xdr:rowOff>
    </xdr:to>
    <xdr:graphicFrame macro="">
      <xdr:nvGraphicFramePr>
        <xdr:cNvPr id="48" name="Chart 47">
          <a:extLst>
            <a:ext uri="{FF2B5EF4-FFF2-40B4-BE49-F238E27FC236}">
              <a16:creationId xmlns:a16="http://schemas.microsoft.com/office/drawing/2014/main" id="{8581636A-E86D-4A7E-980C-F295924D02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0.08738</cdr:x>
      <cdr:y>0</cdr:y>
    </cdr:from>
    <cdr:to>
      <cdr:x>0.92114</cdr:x>
      <cdr:y>0.10022</cdr:y>
    </cdr:to>
    <cdr:sp macro="" textlink="">
      <cdr:nvSpPr>
        <cdr:cNvPr id="2" name="TextBox 16">
          <a:extLst xmlns:a="http://schemas.openxmlformats.org/drawingml/2006/main">
            <a:ext uri="{FF2B5EF4-FFF2-40B4-BE49-F238E27FC236}">
              <a16:creationId xmlns:a16="http://schemas.microsoft.com/office/drawing/2014/main" id="{00000000-0008-0000-0000-000011000000}"/>
            </a:ext>
          </a:extLst>
        </cdr:cNvPr>
        <cdr:cNvSpPr txBox="1"/>
      </cdr:nvSpPr>
      <cdr:spPr>
        <a:xfrm xmlns:a="http://schemas.openxmlformats.org/drawingml/2006/main">
          <a:off x="459304" y="0"/>
          <a:ext cx="4382450" cy="51575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 cmpd="sng">
          <a:noFill/>
        </a:ln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dk1"/>
        </a:fontRef>
      </cdr:style>
      <cdr:txBody>
        <a:bodyPr xmlns:a="http://schemas.openxmlformats.org/drawingml/2006/main" wrap="square" rtlCol="0" anchor="ctr"/>
        <a:lstStyle xmlns:a="http://schemas.openxmlformats.org/drawingml/2006/main">
          <a:lvl1pPr marL="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r>
            <a:rPr lang="en-US" sz="1800" b="1">
              <a:latin typeface="Segoe UI" panose="020B0502040204020203" pitchFamily="34" charset="0"/>
              <a:cs typeface="Segoe UI" panose="020B0502040204020203" pitchFamily="34" charset="0"/>
            </a:rPr>
            <a:t>Cost Break-up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 2007 - 2010">
  <a:themeElements>
    <a:clrScheme name="Custom 4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E36C09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theme="5" tint="-0.499984740745262"/>
    <pageSetUpPr fitToPage="1"/>
  </sheetPr>
  <dimension ref="A1:V221"/>
  <sheetViews>
    <sheetView tabSelected="1" zoomScale="40" zoomScaleNormal="40" zoomScaleSheetLayoutView="70" workbookViewId="0">
      <pane ySplit="1" topLeftCell="A60" activePane="bottomLeft" state="frozen"/>
      <selection pane="bottomLeft" activeCell="F11" sqref="F11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Q216</f>
        <v>518726.67692128662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P216*D5</f>
        <v>10131.531972576002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P216*D6</f>
        <v>29063.488160000004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N216*D7</f>
        <v>74681.847224257304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9489.0531641717989</v>
      </c>
      <c r="F8" s="185" t="s">
        <v>181</v>
      </c>
      <c r="G8" s="120"/>
      <c r="H8" s="184"/>
      <c r="I8" s="137"/>
      <c r="J8" s="138"/>
      <c r="K8" s="142" t="s">
        <v>825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642092.59744229168</v>
      </c>
      <c r="F9" s="95"/>
      <c r="G9" s="120"/>
      <c r="H9" s="184"/>
      <c r="I9" s="137"/>
      <c r="J9" s="143" t="s">
        <v>183</v>
      </c>
      <c r="K9" s="26">
        <v>75200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75200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40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813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36309.154802286546</v>
      </c>
      <c r="S18" s="129">
        <f>U18</f>
        <v>482417.52211900009</v>
      </c>
      <c r="T18" s="130"/>
      <c r="U18" s="13">
        <f>SUM(Q67:Q215)</f>
        <v>482417.52211900009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89.336578170185206</v>
      </c>
      <c r="L27" s="60">
        <f t="shared" si="3"/>
        <v>89.336578170185206</v>
      </c>
      <c r="M27" s="58">
        <f>IF(VLOOKUP(E27,'HOURLY RATES'!C$6:D$105,2,0)=0,$E$3,VLOOKUP(E27,'HOURLY RATES'!C$6:D$105,2,0))</f>
        <v>54</v>
      </c>
      <c r="N27" s="58">
        <f t="shared" si="4"/>
        <v>4824.1752211900011</v>
      </c>
      <c r="O27" s="61"/>
      <c r="P27" s="61">
        <f t="shared" si="0"/>
        <v>0</v>
      </c>
      <c r="Q27" s="62">
        <f t="shared" si="5"/>
        <v>4824.1752211900011</v>
      </c>
      <c r="R27" s="151"/>
      <c r="S27" s="131">
        <f t="shared" si="1"/>
        <v>5875.8454194094202</v>
      </c>
      <c r="T27" s="130">
        <f t="shared" si="6"/>
        <v>5875.8454194094202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51.457869026026671</v>
      </c>
      <c r="L34" s="60">
        <f t="shared" ref="L34:L36" si="8">K34*I34</f>
        <v>51.457869026026671</v>
      </c>
      <c r="M34" s="58">
        <f>IF(VLOOKUP(E34,'HOURLY RATES'!C$6:D$105,2,0)=0,$E$3,VLOOKUP(E34,'HOURLY RATES'!C$6:D$105,2,0))</f>
        <v>54</v>
      </c>
      <c r="N34" s="58">
        <f t="shared" ref="N34:N36" si="9">M34*L34</f>
        <v>2778.7249274054402</v>
      </c>
      <c r="O34" s="61"/>
      <c r="P34" s="61">
        <f t="shared" ref="P34:P36" si="10">O34*I34</f>
        <v>0</v>
      </c>
      <c r="Q34" s="62">
        <f t="shared" ref="Q34:Q36" si="11">P34+N34</f>
        <v>2778.7249274054402</v>
      </c>
      <c r="R34" s="151"/>
      <c r="S34" s="131">
        <f>((((N34*(1+$D$7))+(P34*(1+$D$5+$D$6)))*(1+$D$8)))/I34</f>
        <v>3384.4869615798257</v>
      </c>
      <c r="T34" s="130">
        <f t="shared" ref="T34:T36" si="12">S34*I34</f>
        <v>3384.4869615798257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102.78173318479809</v>
      </c>
      <c r="L36" s="60">
        <f t="shared" si="8"/>
        <v>102.78173318479809</v>
      </c>
      <c r="M36" s="58">
        <f>IF(VLOOKUP(E36,'HOURLY RATES'!C$6:D$105,2,0)=0,$E$3,VLOOKUP(E36,'HOURLY RATES'!C$6:D$105,2,0))</f>
        <v>54</v>
      </c>
      <c r="N36" s="58">
        <f t="shared" si="9"/>
        <v>5550.2135919790962</v>
      </c>
      <c r="O36" s="61"/>
      <c r="P36" s="61">
        <f t="shared" si="10"/>
        <v>0</v>
      </c>
      <c r="Q36" s="62">
        <f t="shared" si="11"/>
        <v>5550.2135919790962</v>
      </c>
      <c r="R36" s="151"/>
      <c r="S36" s="131">
        <f>((((N36*(1+$D$7))+(P36*(1+$D$5+$D$6)))*(1+$D$8)))/I36</f>
        <v>6760.1601550305386</v>
      </c>
      <c r="T36" s="130">
        <f t="shared" si="12"/>
        <v>6760.1601550305386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196.54047197440747</v>
      </c>
      <c r="L44" s="60">
        <f t="shared" si="14"/>
        <v>196.54047197440747</v>
      </c>
      <c r="M44" s="58">
        <f>IF(VLOOKUP(E44,'HOURLY RATES'!C$6:D$105,2,0)=0,$E$3,VLOOKUP(E44,'HOURLY RATES'!C$6:D$105,2,0))</f>
        <v>54</v>
      </c>
      <c r="N44" s="58">
        <f t="shared" si="15"/>
        <v>10613.185486618004</v>
      </c>
      <c r="O44" s="61"/>
      <c r="P44" s="61">
        <f t="shared" si="16"/>
        <v>0</v>
      </c>
      <c r="Q44" s="62">
        <f t="shared" si="5"/>
        <v>10613.185486618004</v>
      </c>
      <c r="R44" s="151"/>
      <c r="S44" s="131">
        <f t="shared" si="17"/>
        <v>12926.859922700727</v>
      </c>
      <c r="T44" s="130">
        <f t="shared" si="18"/>
        <v>12926.859922700727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232.27510324248155</v>
      </c>
      <c r="L65" s="60">
        <f t="shared" ref="L65" si="34">K65*I65</f>
        <v>232.27510324248155</v>
      </c>
      <c r="M65" s="58">
        <f>IF(VLOOKUP(E65,'HOURLY RATES'!C$6:D$105,2,0)=0,$E$3,VLOOKUP(E65,'HOURLY RATES'!C$6:D$105,2,0))</f>
        <v>54</v>
      </c>
      <c r="N65" s="58">
        <f t="shared" ref="N65" si="35">M65*L65</f>
        <v>12542.855575094003</v>
      </c>
      <c r="O65" s="61"/>
      <c r="P65" s="61">
        <f t="shared" ref="P65" si="36">O65*I65</f>
        <v>0</v>
      </c>
      <c r="Q65" s="62">
        <f t="shared" ref="Q65" si="37">P65+N65</f>
        <v>12542.855575094003</v>
      </c>
      <c r="R65" s="151"/>
      <c r="S65" s="131">
        <f>((((N65*(1+$D$7))+(P65*(1+$D$5+$D$6)))*(1+$D$8)))/I65</f>
        <v>15277.198090464493</v>
      </c>
      <c r="T65" s="130">
        <f>S65*I65</f>
        <v>15277.198090464493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SUM(Q68:Q214)</f>
        <v>482417.52211900009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ht="31.2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771</v>
      </c>
      <c r="G72" s="51">
        <f>962+2625</f>
        <v>3587</v>
      </c>
      <c r="H72" s="52">
        <f>IF(VLOOKUP(J72,'HOURLY RATES'!B$116:C$124,2,0)=0,$J$3,VLOOKUP(J72,'HOURLY RATES'!B$116:C$124,2,0))</f>
        <v>0.05</v>
      </c>
      <c r="I72" s="53">
        <f t="shared" ref="I72" si="38">(G72*(1+H72))</f>
        <v>3766.3500000000004</v>
      </c>
      <c r="J72" s="99" t="s">
        <v>224</v>
      </c>
      <c r="K72" s="153">
        <v>2.1999999999999999E-2</v>
      </c>
      <c r="L72" s="60">
        <f t="shared" ref="L72" si="39">K72*I72</f>
        <v>82.859700000000004</v>
      </c>
      <c r="M72" s="58">
        <f>IF(VLOOKUP(E72,'HOURLY RATES'!C$6:D$105,2,0)=0,$E$3,VLOOKUP(E72,'HOURLY RATES'!C$6:D$105,2,0))</f>
        <v>54</v>
      </c>
      <c r="N72" s="58">
        <f t="shared" ref="N72" si="40">M72*L72</f>
        <v>4474.4238000000005</v>
      </c>
      <c r="O72" s="61">
        <v>0.4</v>
      </c>
      <c r="P72" s="61">
        <f t="shared" ref="P72" si="41">O72*I72</f>
        <v>1506.5400000000002</v>
      </c>
      <c r="Q72" s="62">
        <f t="shared" ref="Q72" si="42">P72+N72</f>
        <v>5980.9638000000004</v>
      </c>
      <c r="R72" s="155"/>
      <c r="S72" s="131">
        <f t="shared" ref="S72" si="43">((((N72*(1+$D$7))+(P72*(1+$D$5+$D$6)))*(1+$D$8)))/I72</f>
        <v>1.9624903199999997</v>
      </c>
      <c r="T72" s="130">
        <f t="shared" ref="T72" si="44">S72*I72</f>
        <v>7391.4254167319996</v>
      </c>
    </row>
    <row r="73" spans="1:20" s="7" customFormat="1" ht="31.2" x14ac:dyDescent="0.25">
      <c r="A73" s="152">
        <f>IF(J73&lt;&gt;"",1+MAX($A$18:A72),"")</f>
        <v>35</v>
      </c>
      <c r="B73" s="50"/>
      <c r="C73" s="50"/>
      <c r="D73" s="100" t="s">
        <v>35</v>
      </c>
      <c r="E73" s="178" t="s">
        <v>104</v>
      </c>
      <c r="F73" s="175" t="s">
        <v>774</v>
      </c>
      <c r="G73" s="51">
        <v>582</v>
      </c>
      <c r="H73" s="52">
        <f>IF(VLOOKUP(J73,'HOURLY RATES'!B$116:C$124,2,0)=0,$J$3,VLOOKUP(J73,'HOURLY RATES'!B$116:C$124,2,0))</f>
        <v>0.05</v>
      </c>
      <c r="I73" s="53">
        <f t="shared" ref="I73" si="45">(G73*(1+H73))</f>
        <v>611.1</v>
      </c>
      <c r="J73" s="99" t="s">
        <v>224</v>
      </c>
      <c r="K73" s="153">
        <v>2.1999999999999999E-2</v>
      </c>
      <c r="L73" s="60">
        <f t="shared" ref="L73" si="46">K73*I73</f>
        <v>13.4442</v>
      </c>
      <c r="M73" s="58">
        <f>IF(VLOOKUP(E73,'HOURLY RATES'!C$6:D$105,2,0)=0,$E$3,VLOOKUP(E73,'HOURLY RATES'!C$6:D$105,2,0))</f>
        <v>54</v>
      </c>
      <c r="N73" s="58">
        <f t="shared" ref="N73" si="47">M73*L73</f>
        <v>725.98680000000002</v>
      </c>
      <c r="O73" s="61">
        <v>0.4</v>
      </c>
      <c r="P73" s="61">
        <f t="shared" ref="P73" si="48">O73*I73</f>
        <v>244.44000000000003</v>
      </c>
      <c r="Q73" s="62">
        <f t="shared" ref="Q73" si="49">P73+N73</f>
        <v>970.42680000000007</v>
      </c>
      <c r="R73" s="155"/>
      <c r="S73" s="131">
        <f t="shared" ref="S73" si="50">((((N73*(1+$D$7))+(P73*(1+$D$5+$D$6)))*(1+$D$8)))/I73</f>
        <v>1.9624903200000001</v>
      </c>
      <c r="T73" s="130">
        <f t="shared" ref="T73" si="51">S73*I73</f>
        <v>1199.2778345520001</v>
      </c>
    </row>
    <row r="74" spans="1:20" s="7" customFormat="1" x14ac:dyDescent="0.25">
      <c r="A74" s="152">
        <f>IF(J74&lt;&gt;"",1+MAX($A$18:A73),"")</f>
        <v>36</v>
      </c>
      <c r="B74" s="50"/>
      <c r="C74" s="50"/>
      <c r="D74" s="100" t="s">
        <v>35</v>
      </c>
      <c r="E74" s="178" t="s">
        <v>104</v>
      </c>
      <c r="F74" s="175" t="s">
        <v>749</v>
      </c>
      <c r="G74" s="51">
        <f>1479+565</f>
        <v>2044</v>
      </c>
      <c r="H74" s="52">
        <f>IF(VLOOKUP(J74,'HOURLY RATES'!B$116:C$124,2,0)=0,$J$3,VLOOKUP(J74,'HOURLY RATES'!B$116:C$124,2,0))</f>
        <v>0.05</v>
      </c>
      <c r="I74" s="53">
        <f t="shared" ref="I74" si="52">(G74*(1+H74))</f>
        <v>2146.2000000000003</v>
      </c>
      <c r="J74" s="99" t="s">
        <v>224</v>
      </c>
      <c r="K74" s="153">
        <v>2.1999999999999999E-2</v>
      </c>
      <c r="L74" s="60">
        <f t="shared" ref="L74" si="53">K74*I74</f>
        <v>47.2164</v>
      </c>
      <c r="M74" s="58">
        <f>IF(VLOOKUP(E74,'HOURLY RATES'!C$6:D$105,2,0)=0,$E$3,VLOOKUP(E74,'HOURLY RATES'!C$6:D$105,2,0))</f>
        <v>54</v>
      </c>
      <c r="N74" s="58">
        <f t="shared" ref="N74" si="54">M74*L74</f>
        <v>2549.6855999999998</v>
      </c>
      <c r="O74" s="61">
        <v>0.8</v>
      </c>
      <c r="P74" s="61">
        <f t="shared" ref="P74" si="55">O74*I74</f>
        <v>1716.9600000000003</v>
      </c>
      <c r="Q74" s="62">
        <f t="shared" ref="Q74" si="56">P74+N74</f>
        <v>4266.6455999999998</v>
      </c>
      <c r="R74" s="155"/>
      <c r="S74" s="131">
        <f t="shared" ref="S74" si="57">((((N74*(1+$D$7))+(P74*(1+$D$5+$D$6)))*(1+$D$8)))/I74</f>
        <v>2.4779966399999993</v>
      </c>
      <c r="T74" s="130">
        <f t="shared" ref="T74" si="58">S74*I74</f>
        <v>5318.2763887679994</v>
      </c>
    </row>
    <row r="75" spans="1:20" s="7" customFormat="1" x14ac:dyDescent="0.25">
      <c r="A75" s="152" t="str">
        <f>IF(J75&lt;&gt;"",1+MAX($A$18:A72),"")</f>
        <v/>
      </c>
      <c r="B75" s="50"/>
      <c r="C75" s="63"/>
      <c r="D75" s="100"/>
      <c r="E75" s="178"/>
      <c r="F75" s="103" t="s">
        <v>222</v>
      </c>
      <c r="G75" s="51"/>
      <c r="H75" s="52"/>
      <c r="I75" s="53"/>
      <c r="J75" s="99"/>
      <c r="K75" s="153"/>
      <c r="L75" s="60"/>
      <c r="M75" s="58"/>
      <c r="N75" s="58"/>
      <c r="O75" s="61"/>
      <c r="P75" s="61"/>
      <c r="Q75" s="62"/>
      <c r="R75" s="155"/>
      <c r="S75" s="131"/>
      <c r="T75" s="130"/>
    </row>
    <row r="76" spans="1:20" s="7" customFormat="1" x14ac:dyDescent="0.25">
      <c r="A76" s="152" t="str">
        <f>IF(J76&lt;&gt;"",1+MAX($A$18:A75),"")</f>
        <v/>
      </c>
      <c r="B76" s="50"/>
      <c r="C76" s="63"/>
      <c r="D76" s="100"/>
      <c r="E76" s="178"/>
      <c r="F76" s="172" t="s">
        <v>719</v>
      </c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ht="31.2" x14ac:dyDescent="0.25">
      <c r="A77" s="152">
        <f>IF(J77&lt;&gt;"",1+MAX($A$18:A76),"")</f>
        <v>37</v>
      </c>
      <c r="B77" s="50"/>
      <c r="C77" s="50"/>
      <c r="D77" s="100" t="s">
        <v>35</v>
      </c>
      <c r="E77" s="178" t="s">
        <v>104</v>
      </c>
      <c r="F77" s="175" t="s">
        <v>747</v>
      </c>
      <c r="G77" s="51">
        <v>90.29</v>
      </c>
      <c r="H77" s="52">
        <f>IF(VLOOKUP(J77,'HOURLY RATES'!B$116:C$124,2,0)=0,$J$3,VLOOKUP(J77,'HOURLY RATES'!B$116:C$124,2,0))</f>
        <v>0.05</v>
      </c>
      <c r="I77" s="53">
        <f t="shared" ref="I77" si="59">(G77*(1+H77))</f>
        <v>94.804500000000004</v>
      </c>
      <c r="J77" s="99" t="s">
        <v>226</v>
      </c>
      <c r="K77" s="153">
        <v>1.7999999999999999E-2</v>
      </c>
      <c r="L77" s="60">
        <f t="shared" ref="L77" si="60">K77*I77</f>
        <v>1.7064809999999999</v>
      </c>
      <c r="M77" s="58">
        <f>IF(VLOOKUP(E77,'HOURLY RATES'!C$6:D$105,2,0)=0,$E$3,VLOOKUP(E77,'HOURLY RATES'!C$6:D$105,2,0))</f>
        <v>54</v>
      </c>
      <c r="N77" s="58">
        <f t="shared" ref="N77" si="61">M77*L77</f>
        <v>92.149974</v>
      </c>
      <c r="O77" s="61">
        <v>0.8</v>
      </c>
      <c r="P77" s="61">
        <f t="shared" ref="P77" si="62">O77*I77</f>
        <v>75.843600000000009</v>
      </c>
      <c r="Q77" s="62">
        <f t="shared" ref="Q77" si="63">P77+N77</f>
        <v>167.99357400000002</v>
      </c>
      <c r="R77" s="155"/>
      <c r="S77" s="131">
        <f>((((N77*(1+$D$7))+(P77*(1+$D$5+$D$6)))*(1+$D$8)))/I77</f>
        <v>2.2149086399999995</v>
      </c>
      <c r="T77" s="130">
        <f t="shared" ref="T77" si="64">S77*I77</f>
        <v>209.98330616087998</v>
      </c>
    </row>
    <row r="78" spans="1:20" s="7" customFormat="1" ht="31.2" x14ac:dyDescent="0.25">
      <c r="A78" s="152">
        <f>IF(J78&lt;&gt;"",1+MAX($A$18:A77),"")</f>
        <v>38</v>
      </c>
      <c r="B78" s="50"/>
      <c r="C78" s="50"/>
      <c r="D78" s="100" t="s">
        <v>35</v>
      </c>
      <c r="E78" s="178" t="s">
        <v>104</v>
      </c>
      <c r="F78" s="175" t="s">
        <v>778</v>
      </c>
      <c r="G78" s="51">
        <v>266.83999999999997</v>
      </c>
      <c r="H78" s="52">
        <f>IF(VLOOKUP(J78,'HOURLY RATES'!B$116:C$124,2,0)=0,$J$3,VLOOKUP(J78,'HOURLY RATES'!B$116:C$124,2,0))</f>
        <v>0.05</v>
      </c>
      <c r="I78" s="53">
        <f t="shared" ref="I78" si="65">(G78*(1+H78))</f>
        <v>280.18199999999996</v>
      </c>
      <c r="J78" s="99" t="s">
        <v>226</v>
      </c>
      <c r="K78" s="153">
        <v>1.7999999999999999E-2</v>
      </c>
      <c r="L78" s="60">
        <f t="shared" ref="L78" si="66">K78*I78</f>
        <v>5.0432759999999988</v>
      </c>
      <c r="M78" s="58">
        <f>IF(VLOOKUP(E78,'HOURLY RATES'!C$6:D$105,2,0)=0,$E$3,VLOOKUP(E78,'HOURLY RATES'!C$6:D$105,2,0))</f>
        <v>54</v>
      </c>
      <c r="N78" s="58">
        <f t="shared" ref="N78" si="67">M78*L78</f>
        <v>272.33690399999995</v>
      </c>
      <c r="O78" s="61">
        <v>0.8</v>
      </c>
      <c r="P78" s="61">
        <f t="shared" ref="P78" si="68">O78*I78</f>
        <v>224.14559999999997</v>
      </c>
      <c r="Q78" s="62">
        <f t="shared" ref="Q78" si="69">P78+N78</f>
        <v>496.48250399999995</v>
      </c>
      <c r="R78" s="155"/>
      <c r="S78" s="131">
        <f>((((N78*(1+$D$7))+(P78*(1+$D$5+$D$6)))*(1+$D$8)))/I78</f>
        <v>2.21490864</v>
      </c>
      <c r="T78" s="130">
        <f t="shared" ref="T78" si="70">S78*I78</f>
        <v>620.57753257247987</v>
      </c>
    </row>
    <row r="79" spans="1:20" s="7" customFormat="1" x14ac:dyDescent="0.25">
      <c r="A79" s="152"/>
      <c r="B79" s="50"/>
      <c r="C79" s="63"/>
      <c r="D79" s="100"/>
      <c r="E79" s="178"/>
      <c r="F79" s="103"/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x14ac:dyDescent="0.25">
      <c r="A80" s="152" t="str">
        <f>IF(J80&lt;&gt;"",1+MAX($A$18:A77),"")</f>
        <v/>
      </c>
      <c r="B80" s="50"/>
      <c r="C80" s="63"/>
      <c r="D80" s="100"/>
      <c r="E80" s="178"/>
      <c r="F80" s="172" t="s">
        <v>223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0" s="7" customFormat="1" ht="31.2" x14ac:dyDescent="0.25">
      <c r="A81" s="152">
        <f>IF(J81&lt;&gt;"",1+MAX($A$18:A80),"")</f>
        <v>39</v>
      </c>
      <c r="B81" s="50"/>
      <c r="C81" s="50"/>
      <c r="D81" s="100" t="s">
        <v>35</v>
      </c>
      <c r="E81" s="178" t="s">
        <v>104</v>
      </c>
      <c r="F81" s="175" t="s">
        <v>769</v>
      </c>
      <c r="G81" s="51">
        <f>8562+3500</f>
        <v>12062</v>
      </c>
      <c r="H81" s="52">
        <f>IF(VLOOKUP(J81,'HOURLY RATES'!B$116:C$124,2,0)=0,$J$3,VLOOKUP(J81,'HOURLY RATES'!B$116:C$124,2,0))</f>
        <v>0.05</v>
      </c>
      <c r="I81" s="53">
        <f t="shared" ref="I81:I83" si="71">(G81*(1+H81))</f>
        <v>12665.1</v>
      </c>
      <c r="J81" s="99" t="s">
        <v>224</v>
      </c>
      <c r="K81" s="153">
        <v>0.02</v>
      </c>
      <c r="L81" s="60">
        <f t="shared" ref="L81:L83" si="72">K81*I81</f>
        <v>253.30200000000002</v>
      </c>
      <c r="M81" s="58">
        <f>IF(VLOOKUP(E81,'HOURLY RATES'!C$6:D$105,2,0)=0,$E$3,VLOOKUP(E81,'HOURLY RATES'!C$6:D$105,2,0))</f>
        <v>54</v>
      </c>
      <c r="N81" s="58">
        <f t="shared" ref="N81:N83" si="73">M81*L81</f>
        <v>13678.308000000001</v>
      </c>
      <c r="O81" s="61">
        <v>0.4</v>
      </c>
      <c r="P81" s="61">
        <f t="shared" ref="P81:P83" si="74">O81*I81</f>
        <v>5066.0400000000009</v>
      </c>
      <c r="Q81" s="62">
        <f t="shared" ref="Q81:Q83" si="75">P81+N81</f>
        <v>18744.348000000002</v>
      </c>
      <c r="R81" s="155"/>
      <c r="S81" s="131">
        <f t="shared" ref="S81:S83" si="76">((((N81*(1+$D$7))+(P81*(1+$D$5+$D$6)))*(1+$D$8)))/I81</f>
        <v>1.83094632</v>
      </c>
      <c r="T81" s="130">
        <f t="shared" ref="T81:T83" si="77">S81*I81</f>
        <v>23189.118237432001</v>
      </c>
    </row>
    <row r="82" spans="1:20" s="7" customFormat="1" ht="31.2" x14ac:dyDescent="0.25">
      <c r="A82" s="152">
        <f>IF(J82&lt;&gt;"",1+MAX($A$18:A81),"")</f>
        <v>40</v>
      </c>
      <c r="B82" s="50"/>
      <c r="C82" s="50"/>
      <c r="D82" s="100" t="s">
        <v>35</v>
      </c>
      <c r="E82" s="178" t="s">
        <v>104</v>
      </c>
      <c r="F82" s="175" t="s">
        <v>800</v>
      </c>
      <c r="G82" s="51">
        <v>553</v>
      </c>
      <c r="H82" s="52">
        <f>IF(VLOOKUP(J82,'HOURLY RATES'!B$116:C$124,2,0)=0,$J$3,VLOOKUP(J82,'HOURLY RATES'!B$116:C$124,2,0))</f>
        <v>0.05</v>
      </c>
      <c r="I82" s="53">
        <f t="shared" ref="I82" si="78">(G82*(1+H82))</f>
        <v>580.65</v>
      </c>
      <c r="J82" s="99" t="s">
        <v>224</v>
      </c>
      <c r="K82" s="153">
        <v>0.02</v>
      </c>
      <c r="L82" s="60">
        <f t="shared" ref="L82" si="79">K82*I82</f>
        <v>11.613</v>
      </c>
      <c r="M82" s="58">
        <f>IF(VLOOKUP(E82,'HOURLY RATES'!C$6:D$105,2,0)=0,$E$3,VLOOKUP(E82,'HOURLY RATES'!C$6:D$105,2,0))</f>
        <v>54</v>
      </c>
      <c r="N82" s="58">
        <f t="shared" ref="N82" si="80">M82*L82</f>
        <v>627.10199999999998</v>
      </c>
      <c r="O82" s="61">
        <v>0.4</v>
      </c>
      <c r="P82" s="61">
        <f t="shared" ref="P82" si="81">O82*I82</f>
        <v>232.26</v>
      </c>
      <c r="Q82" s="62">
        <f t="shared" ref="Q82" si="82">P82+N82</f>
        <v>859.36199999999997</v>
      </c>
      <c r="R82" s="155"/>
      <c r="S82" s="131">
        <f t="shared" ref="S82" si="83">((((N82*(1+$D$7))+(P82*(1+$D$5+$D$6)))*(1+$D$8)))/I82</f>
        <v>1.8309463199999996</v>
      </c>
      <c r="T82" s="130">
        <f t="shared" ref="T82" si="84">S82*I82</f>
        <v>1063.1389807079997</v>
      </c>
    </row>
    <row r="83" spans="1:20" s="7" customFormat="1" ht="31.2" x14ac:dyDescent="0.25">
      <c r="A83" s="152">
        <f>IF(J83&lt;&gt;"",1+MAX($A$18:A81),"")</f>
        <v>40</v>
      </c>
      <c r="B83" s="50"/>
      <c r="C83" s="50"/>
      <c r="D83" s="100" t="s">
        <v>35</v>
      </c>
      <c r="E83" s="178" t="s">
        <v>104</v>
      </c>
      <c r="F83" s="175" t="s">
        <v>768</v>
      </c>
      <c r="G83" s="51">
        <f>2691+1032</f>
        <v>3723</v>
      </c>
      <c r="H83" s="52">
        <f>IF(VLOOKUP(J83,'HOURLY RATES'!B$116:C$124,2,0)=0,$J$3,VLOOKUP(J83,'HOURLY RATES'!B$116:C$124,2,0))</f>
        <v>0.05</v>
      </c>
      <c r="I83" s="53">
        <f t="shared" si="71"/>
        <v>3909.15</v>
      </c>
      <c r="J83" s="99" t="s">
        <v>224</v>
      </c>
      <c r="K83" s="153">
        <v>0.02</v>
      </c>
      <c r="L83" s="60">
        <f t="shared" si="72"/>
        <v>78.183000000000007</v>
      </c>
      <c r="M83" s="58">
        <f>IF(VLOOKUP(E83,'HOURLY RATES'!C$6:D$105,2,0)=0,$E$3,VLOOKUP(E83,'HOURLY RATES'!C$6:D$105,2,0))</f>
        <v>54</v>
      </c>
      <c r="N83" s="58">
        <f t="shared" si="73"/>
        <v>4221.8820000000005</v>
      </c>
      <c r="O83" s="61">
        <v>0.4</v>
      </c>
      <c r="P83" s="61">
        <f t="shared" si="74"/>
        <v>1563.66</v>
      </c>
      <c r="Q83" s="62">
        <f t="shared" si="75"/>
        <v>5785.5420000000004</v>
      </c>
      <c r="R83" s="155"/>
      <c r="S83" s="131">
        <f t="shared" si="76"/>
        <v>1.8309463199999998</v>
      </c>
      <c r="T83" s="130">
        <f t="shared" si="77"/>
        <v>7157.4438068279997</v>
      </c>
    </row>
    <row r="84" spans="1:20" s="7" customFormat="1" x14ac:dyDescent="0.25">
      <c r="A84" s="152"/>
      <c r="B84" s="50"/>
      <c r="C84" s="63"/>
      <c r="D84" s="100"/>
      <c r="E84" s="178"/>
      <c r="F84" s="103"/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 t="str">
        <f>IF(J85&lt;&gt;"",1+MAX($A$18:A83),"")</f>
        <v/>
      </c>
      <c r="B85" s="50"/>
      <c r="C85" s="63"/>
      <c r="D85" s="100"/>
      <c r="E85" s="178"/>
      <c r="F85" s="172" t="s">
        <v>227</v>
      </c>
      <c r="G85" s="51"/>
      <c r="H85" s="52"/>
      <c r="I85" s="53"/>
      <c r="J85" s="99"/>
      <c r="K85" s="153"/>
      <c r="L85" s="60"/>
      <c r="M85" s="58"/>
      <c r="N85" s="58"/>
      <c r="O85" s="61"/>
      <c r="P85" s="61"/>
      <c r="Q85" s="62"/>
      <c r="R85" s="155"/>
      <c r="S85" s="131"/>
      <c r="T85" s="130"/>
    </row>
    <row r="86" spans="1:20" s="7" customFormat="1" x14ac:dyDescent="0.25">
      <c r="A86" s="152">
        <f>IF(J86&lt;&gt;"",1+MAX($A$18:A85),"")</f>
        <v>41</v>
      </c>
      <c r="B86" s="50"/>
      <c r="C86" s="50"/>
      <c r="D86" s="100" t="s">
        <v>35</v>
      </c>
      <c r="E86" s="178" t="s">
        <v>104</v>
      </c>
      <c r="F86" s="175" t="s">
        <v>748</v>
      </c>
      <c r="G86" s="51">
        <v>103.69</v>
      </c>
      <c r="H86" s="52">
        <f>IF(VLOOKUP(J86,'HOURLY RATES'!B$116:C$124,2,0)=0,$J$3,VLOOKUP(J86,'HOURLY RATES'!B$116:C$124,2,0))</f>
        <v>0.05</v>
      </c>
      <c r="I86" s="53">
        <f t="shared" ref="I86" si="85">(G86*(1+H86))</f>
        <v>108.8745</v>
      </c>
      <c r="J86" s="99" t="s">
        <v>226</v>
      </c>
      <c r="K86" s="153">
        <v>4.3999999999999997E-2</v>
      </c>
      <c r="L86" s="60">
        <f t="shared" ref="L86" si="86">K86*I86</f>
        <v>4.7904779999999993</v>
      </c>
      <c r="M86" s="58">
        <f>IF(VLOOKUP(E86,'HOURLY RATES'!C$6:D$105,2,0)=0,$E$3,VLOOKUP(E86,'HOURLY RATES'!C$6:D$105,2,0))</f>
        <v>54</v>
      </c>
      <c r="N86" s="58">
        <f t="shared" ref="N86" si="87">M86*L86</f>
        <v>258.68581199999994</v>
      </c>
      <c r="O86" s="61">
        <v>1.5</v>
      </c>
      <c r="P86" s="61">
        <f t="shared" ref="P86" si="88">O86*I86</f>
        <v>163.31174999999999</v>
      </c>
      <c r="Q86" s="62">
        <f t="shared" ref="Q86" si="89">P86+N86</f>
        <v>421.9975619999999</v>
      </c>
      <c r="R86" s="155"/>
      <c r="S86" s="131">
        <f>((((N86*(1+$D$7))+(P86*(1+$D$5+$D$6)))*(1+$D$8)))/I86</f>
        <v>4.8271166999999986</v>
      </c>
      <c r="T86" s="130">
        <f t="shared" ref="T86" si="90">S86*I86</f>
        <v>525.54991715414985</v>
      </c>
    </row>
    <row r="87" spans="1:20" s="7" customFormat="1" x14ac:dyDescent="0.25">
      <c r="A87" s="152">
        <f>IF(J87&lt;&gt;"",1+MAX($A$18:A85),"")</f>
        <v>41</v>
      </c>
      <c r="B87" s="50"/>
      <c r="C87" s="50"/>
      <c r="D87" s="100" t="s">
        <v>35</v>
      </c>
      <c r="E87" s="178" t="s">
        <v>104</v>
      </c>
      <c r="F87" s="175" t="s">
        <v>721</v>
      </c>
      <c r="G87" s="51">
        <v>109.61</v>
      </c>
      <c r="H87" s="52">
        <f>IF(VLOOKUP(J87,'HOURLY RATES'!B$116:C$124,2,0)=0,$J$3,VLOOKUP(J87,'HOURLY RATES'!B$116:C$124,2,0))</f>
        <v>0.05</v>
      </c>
      <c r="I87" s="53">
        <f t="shared" ref="I87" si="91">(G87*(1+H87))</f>
        <v>115.09050000000001</v>
      </c>
      <c r="J87" s="99" t="s">
        <v>226</v>
      </c>
      <c r="K87" s="153">
        <v>0.215</v>
      </c>
      <c r="L87" s="60">
        <f t="shared" ref="L87" si="92">K87*I87</f>
        <v>24.744457499999999</v>
      </c>
      <c r="M87" s="58">
        <f>IF(VLOOKUP(E87,'HOURLY RATES'!C$6:D$105,2,0)=0,$E$3,VLOOKUP(E87,'HOURLY RATES'!C$6:D$105,2,0))</f>
        <v>54</v>
      </c>
      <c r="N87" s="58">
        <f t="shared" ref="N87" si="93">M87*L87</f>
        <v>1336.200705</v>
      </c>
      <c r="O87" s="61">
        <v>2.5</v>
      </c>
      <c r="P87" s="61">
        <f t="shared" ref="P87" si="94">O87*I87</f>
        <v>287.72624999999999</v>
      </c>
      <c r="Q87" s="62">
        <f t="shared" ref="Q87" si="95">P87+N87</f>
        <v>1623.9269549999999</v>
      </c>
      <c r="R87" s="155"/>
      <c r="S87" s="131">
        <f>((((N87*(1+$D$7))+(P87*(1+$D$5+$D$6)))*(1+$D$8)))/I87</f>
        <v>17.362894499999996</v>
      </c>
      <c r="T87" s="130">
        <f t="shared" ref="T87" si="96">S87*I87</f>
        <v>1998.3042094522496</v>
      </c>
    </row>
    <row r="88" spans="1:20" s="7" customFormat="1" x14ac:dyDescent="0.25">
      <c r="A88" s="152"/>
      <c r="B88" s="50"/>
      <c r="C88" s="63"/>
      <c r="D88" s="100"/>
      <c r="E88" s="178"/>
      <c r="F88" s="103"/>
      <c r="G88" s="51"/>
      <c r="H88" s="52"/>
      <c r="I88" s="53"/>
      <c r="J88" s="99"/>
      <c r="K88" s="153"/>
      <c r="L88" s="60"/>
      <c r="M88" s="58"/>
      <c r="N88" s="58"/>
      <c r="O88" s="61"/>
      <c r="P88" s="61"/>
      <c r="Q88" s="62"/>
      <c r="R88" s="155"/>
      <c r="S88" s="131"/>
      <c r="T88" s="130"/>
    </row>
    <row r="89" spans="1:20" s="7" customFormat="1" x14ac:dyDescent="0.25">
      <c r="A89" s="152" t="str">
        <f>IF(J89&lt;&gt;"",1+MAX($A$18:A86),"")</f>
        <v/>
      </c>
      <c r="B89" s="50"/>
      <c r="C89" s="63"/>
      <c r="D89" s="100"/>
      <c r="E89" s="178"/>
      <c r="F89" s="172" t="s">
        <v>723</v>
      </c>
      <c r="G89" s="51"/>
      <c r="H89" s="52"/>
      <c r="I89" s="53"/>
      <c r="J89" s="99"/>
      <c r="K89" s="153"/>
      <c r="L89" s="60"/>
      <c r="M89" s="58"/>
      <c r="N89" s="58"/>
      <c r="O89" s="61"/>
      <c r="P89" s="61"/>
      <c r="Q89" s="62"/>
      <c r="R89" s="155"/>
      <c r="S89" s="131"/>
      <c r="T89" s="130"/>
    </row>
    <row r="90" spans="1:20" s="7" customFormat="1" ht="31.2" x14ac:dyDescent="0.25">
      <c r="A90" s="152">
        <f>IF(J90&lt;&gt;"",1+MAX($A$18:A89),"")</f>
        <v>42</v>
      </c>
      <c r="B90" s="50"/>
      <c r="C90" s="50"/>
      <c r="D90" s="100" t="s">
        <v>35</v>
      </c>
      <c r="E90" s="178" t="s">
        <v>104</v>
      </c>
      <c r="F90" s="175" t="s">
        <v>804</v>
      </c>
      <c r="G90" s="51">
        <v>21</v>
      </c>
      <c r="H90" s="52">
        <f>IF(VLOOKUP(J90,'HOURLY RATES'!B$116:C$124,2,0)=0,$J$3,VLOOKUP(J90,'HOURLY RATES'!B$116:C$124,2,0))</f>
        <v>0</v>
      </c>
      <c r="I90" s="53">
        <f t="shared" ref="I90:I92" si="97">(G90*(1+H90))</f>
        <v>21</v>
      </c>
      <c r="J90" s="99" t="s">
        <v>225</v>
      </c>
      <c r="K90" s="153">
        <v>1.23</v>
      </c>
      <c r="L90" s="60">
        <f t="shared" ref="L90:L92" si="98">K90*I90</f>
        <v>25.83</v>
      </c>
      <c r="M90" s="58">
        <f>IF(VLOOKUP(E90,'HOURLY RATES'!C$6:D$105,2,0)=0,$E$3,VLOOKUP(E90,'HOURLY RATES'!C$6:D$105,2,0))</f>
        <v>54</v>
      </c>
      <c r="N90" s="58">
        <f t="shared" ref="N90:N92" si="99">M90*L90</f>
        <v>1394.82</v>
      </c>
      <c r="O90" s="61">
        <v>28</v>
      </c>
      <c r="P90" s="61">
        <f t="shared" ref="P90:P92" si="100">O90*I90</f>
        <v>588</v>
      </c>
      <c r="Q90" s="62">
        <f t="shared" ref="Q90:Q92" si="101">P90+N90</f>
        <v>1982.82</v>
      </c>
      <c r="R90" s="155"/>
      <c r="S90" s="131">
        <f>((((N90*(1+$D$7))+(P90*(1+$D$5+$D$6)))*(1+$D$8)))/I90</f>
        <v>116.98500239999997</v>
      </c>
      <c r="T90" s="130">
        <f t="shared" ref="T90:T92" si="102">S90*I90</f>
        <v>2456.6850503999995</v>
      </c>
    </row>
    <row r="91" spans="1:20" s="7" customFormat="1" ht="31.2" x14ac:dyDescent="0.25">
      <c r="A91" s="152">
        <f>IF(J91&lt;&gt;"",1+MAX($A$18:A90),"")</f>
        <v>43</v>
      </c>
      <c r="B91" s="50"/>
      <c r="C91" s="50"/>
      <c r="D91" s="100" t="s">
        <v>35</v>
      </c>
      <c r="E91" s="178" t="s">
        <v>104</v>
      </c>
      <c r="F91" s="175" t="s">
        <v>805</v>
      </c>
      <c r="G91" s="51">
        <f>G92/2</f>
        <v>399</v>
      </c>
      <c r="H91" s="52">
        <f>IF(VLOOKUP(J91,'HOURLY RATES'!B$116:C$124,2,0)=0,$J$3,VLOOKUP(J91,'HOURLY RATES'!B$116:C$124,2,0))</f>
        <v>0.05</v>
      </c>
      <c r="I91" s="53">
        <f t="shared" si="97"/>
        <v>418.95000000000005</v>
      </c>
      <c r="J91" s="99" t="s">
        <v>226</v>
      </c>
      <c r="K91" s="153">
        <v>1.7999999999999999E-2</v>
      </c>
      <c r="L91" s="60">
        <f t="shared" si="98"/>
        <v>7.5411000000000001</v>
      </c>
      <c r="M91" s="58">
        <f>IF(VLOOKUP(E91,'HOURLY RATES'!C$6:D$105,2,0)=0,$E$3,VLOOKUP(E91,'HOURLY RATES'!C$6:D$105,2,0))</f>
        <v>54</v>
      </c>
      <c r="N91" s="58">
        <f t="shared" si="99"/>
        <v>407.21940000000001</v>
      </c>
      <c r="O91" s="61">
        <v>0.8</v>
      </c>
      <c r="P91" s="61">
        <f t="shared" si="100"/>
        <v>335.16000000000008</v>
      </c>
      <c r="Q91" s="62">
        <f t="shared" si="101"/>
        <v>742.37940000000003</v>
      </c>
      <c r="R91" s="155"/>
      <c r="S91" s="131">
        <f>((((N91*(1+$D$7))+(P91*(1+$D$5+$D$6)))*(1+$D$8)))/I91</f>
        <v>2.2149086399999995</v>
      </c>
      <c r="T91" s="130">
        <f t="shared" si="102"/>
        <v>927.93597472799991</v>
      </c>
    </row>
    <row r="92" spans="1:20" s="7" customFormat="1" ht="31.2" x14ac:dyDescent="0.25">
      <c r="A92" s="152">
        <f>IF(J92&lt;&gt;"",1+MAX($A$18:A91),"")</f>
        <v>44</v>
      </c>
      <c r="B92" s="50"/>
      <c r="C92" s="50"/>
      <c r="D92" s="100" t="s">
        <v>35</v>
      </c>
      <c r="E92" s="178" t="s">
        <v>104</v>
      </c>
      <c r="F92" s="175" t="s">
        <v>806</v>
      </c>
      <c r="G92" s="51">
        <v>798</v>
      </c>
      <c r="H92" s="52">
        <f>IF(VLOOKUP(J92,'HOURLY RATES'!B$116:C$124,2,0)=0,$J$3,VLOOKUP(J92,'HOURLY RATES'!B$116:C$124,2,0))</f>
        <v>0.05</v>
      </c>
      <c r="I92" s="53">
        <f t="shared" si="97"/>
        <v>837.90000000000009</v>
      </c>
      <c r="J92" s="99" t="s">
        <v>226</v>
      </c>
      <c r="K92" s="153">
        <v>1.7999999999999999E-2</v>
      </c>
      <c r="L92" s="60">
        <f t="shared" si="98"/>
        <v>15.0822</v>
      </c>
      <c r="M92" s="58">
        <f>IF(VLOOKUP(E92,'HOURLY RATES'!C$6:D$105,2,0)=0,$E$3,VLOOKUP(E92,'HOURLY RATES'!C$6:D$105,2,0))</f>
        <v>54</v>
      </c>
      <c r="N92" s="58">
        <f t="shared" si="99"/>
        <v>814.43880000000001</v>
      </c>
      <c r="O92" s="61">
        <v>0.8</v>
      </c>
      <c r="P92" s="61">
        <f t="shared" si="100"/>
        <v>670.32000000000016</v>
      </c>
      <c r="Q92" s="62">
        <f t="shared" si="101"/>
        <v>1484.7588000000001</v>
      </c>
      <c r="R92" s="155"/>
      <c r="S92" s="131">
        <f>((((N92*(1+$D$7))+(P92*(1+$D$5+$D$6)))*(1+$D$8)))/I92</f>
        <v>2.2149086399999995</v>
      </c>
      <c r="T92" s="130">
        <f t="shared" si="102"/>
        <v>1855.8719494559998</v>
      </c>
    </row>
    <row r="93" spans="1:20" s="7" customFormat="1" x14ac:dyDescent="0.25">
      <c r="A93" s="152"/>
      <c r="B93" s="50"/>
      <c r="C93" s="63"/>
      <c r="D93" s="100"/>
      <c r="E93" s="178"/>
      <c r="F93" s="103"/>
      <c r="G93" s="51"/>
      <c r="H93" s="52"/>
      <c r="I93" s="53"/>
      <c r="J93" s="99"/>
      <c r="K93" s="153"/>
      <c r="L93" s="60"/>
      <c r="M93" s="58"/>
      <c r="N93" s="58"/>
      <c r="O93" s="61"/>
      <c r="P93" s="61"/>
      <c r="Q93" s="62"/>
      <c r="R93" s="155"/>
      <c r="S93" s="131"/>
      <c r="T93" s="130"/>
    </row>
    <row r="94" spans="1:20" s="7" customFormat="1" x14ac:dyDescent="0.25">
      <c r="A94" s="152" t="str">
        <f>IF(J94&lt;&gt;"",1+MAX($A$18:A93),"")</f>
        <v/>
      </c>
      <c r="B94" s="109"/>
      <c r="C94" s="110"/>
      <c r="D94" s="100"/>
      <c r="E94" s="179"/>
      <c r="F94" s="172" t="s">
        <v>725</v>
      </c>
      <c r="G94" s="112"/>
      <c r="H94" s="113"/>
      <c r="I94" s="114"/>
      <c r="J94" s="99"/>
      <c r="K94" s="153"/>
      <c r="L94" s="156"/>
      <c r="M94" s="157"/>
      <c r="N94" s="157"/>
      <c r="O94" s="158"/>
      <c r="P94" s="158"/>
      <c r="Q94" s="159"/>
      <c r="R94" s="155"/>
      <c r="S94" s="131"/>
      <c r="T94" s="130"/>
    </row>
    <row r="95" spans="1:20" s="7" customFormat="1" ht="46.8" x14ac:dyDescent="0.25">
      <c r="A95" s="152">
        <f>IF(J95&lt;&gt;"",1+MAX($A$18:A93),"")</f>
        <v>45</v>
      </c>
      <c r="B95" s="109"/>
      <c r="C95" s="109"/>
      <c r="D95" s="100" t="s">
        <v>35</v>
      </c>
      <c r="E95" s="179" t="s">
        <v>86</v>
      </c>
      <c r="F95" s="176" t="s">
        <v>815</v>
      </c>
      <c r="G95" s="112">
        <v>1563</v>
      </c>
      <c r="H95" s="113">
        <v>0.05</v>
      </c>
      <c r="I95" s="114">
        <f t="shared" ref="I95" si="103">(G95*(1+H95))</f>
        <v>1641.15</v>
      </c>
      <c r="J95" s="99" t="s">
        <v>224</v>
      </c>
      <c r="K95" s="153">
        <v>0.02</v>
      </c>
      <c r="L95" s="156">
        <f t="shared" ref="L95" si="104">K95*I95</f>
        <v>32.823</v>
      </c>
      <c r="M95" s="58">
        <f>IF(VLOOKUP(E95,'HOURLY RATES'!C$6:D$105,2,0)=0,$E$3,VLOOKUP(E95,'HOURLY RATES'!C$6:D$105,2,0))</f>
        <v>54</v>
      </c>
      <c r="N95" s="157">
        <f t="shared" ref="N95" si="105">M95*L95</f>
        <v>1772.442</v>
      </c>
      <c r="O95" s="158">
        <v>0.8</v>
      </c>
      <c r="P95" s="158">
        <f t="shared" ref="P95" si="106">O95*I95</f>
        <v>1312.92</v>
      </c>
      <c r="Q95" s="159">
        <f t="shared" ref="Q95" si="107">P95+N95</f>
        <v>3085.3620000000001</v>
      </c>
      <c r="R95" s="155"/>
      <c r="S95" s="131">
        <f>((((N95*(1+$D$7))+(P95*(1+$D$5+$D$6)))*(1+$D$8)))/I95</f>
        <v>2.3464526399999994</v>
      </c>
      <c r="T95" s="130">
        <f t="shared" ref="T95" si="108">S95*I95</f>
        <v>3850.8807501359993</v>
      </c>
    </row>
    <row r="96" spans="1:20" s="7" customFormat="1" ht="46.8" x14ac:dyDescent="0.25">
      <c r="A96" s="152">
        <f>IF(J96&lt;&gt;"",1+MAX($A$18:A94),"")</f>
        <v>45</v>
      </c>
      <c r="B96" s="109"/>
      <c r="C96" s="109"/>
      <c r="D96" s="100" t="s">
        <v>35</v>
      </c>
      <c r="E96" s="179" t="s">
        <v>86</v>
      </c>
      <c r="F96" s="176" t="s">
        <v>816</v>
      </c>
      <c r="G96" s="112">
        <v>1306</v>
      </c>
      <c r="H96" s="113">
        <v>0.05</v>
      </c>
      <c r="I96" s="114">
        <f t="shared" ref="I96:I101" si="109">(G96*(1+H96))</f>
        <v>1371.3</v>
      </c>
      <c r="J96" s="99" t="s">
        <v>224</v>
      </c>
      <c r="K96" s="153">
        <v>0.02</v>
      </c>
      <c r="L96" s="156">
        <f t="shared" ref="L96" si="110">K96*I96</f>
        <v>27.425999999999998</v>
      </c>
      <c r="M96" s="58">
        <f>IF(VLOOKUP(E96,'HOURLY RATES'!C$6:D$105,2,0)=0,$E$3,VLOOKUP(E96,'HOURLY RATES'!C$6:D$105,2,0))</f>
        <v>54</v>
      </c>
      <c r="N96" s="157">
        <f t="shared" ref="N96" si="111">M96*L96</f>
        <v>1481.0039999999999</v>
      </c>
      <c r="O96" s="158">
        <v>0.8</v>
      </c>
      <c r="P96" s="158">
        <f t="shared" ref="P96:P101" si="112">O96*I96</f>
        <v>1097.04</v>
      </c>
      <c r="Q96" s="159">
        <f t="shared" ref="Q96:Q101" si="113">P96+N96</f>
        <v>2578.0439999999999</v>
      </c>
      <c r="R96" s="155"/>
      <c r="S96" s="131">
        <f>((((N96*(1+$D$7))+(P96*(1+$D$5+$D$6)))*(1+$D$8)))/I96</f>
        <v>2.3464526399999994</v>
      </c>
      <c r="T96" s="130">
        <f t="shared" ref="T96:T101" si="114">S96*I96</f>
        <v>3217.6905052319989</v>
      </c>
    </row>
    <row r="97" spans="1:20" s="7" customFormat="1" ht="46.8" x14ac:dyDescent="0.25">
      <c r="A97" s="152">
        <f>IF(J97&lt;&gt;"",1+MAX($A$18:A96),"")</f>
        <v>46</v>
      </c>
      <c r="B97" s="109"/>
      <c r="C97" s="109"/>
      <c r="D97" s="100" t="s">
        <v>35</v>
      </c>
      <c r="E97" s="179" t="s">
        <v>86</v>
      </c>
      <c r="F97" s="176" t="s">
        <v>817</v>
      </c>
      <c r="G97" s="112">
        <v>210</v>
      </c>
      <c r="H97" s="113">
        <v>0.05</v>
      </c>
      <c r="I97" s="114">
        <f t="shared" si="109"/>
        <v>220.5</v>
      </c>
      <c r="J97" s="99" t="s">
        <v>224</v>
      </c>
      <c r="K97" s="153">
        <v>0.02</v>
      </c>
      <c r="L97" s="156">
        <f t="shared" ref="L97:L101" si="115">K97*I97</f>
        <v>4.41</v>
      </c>
      <c r="M97" s="58">
        <f>IF(VLOOKUP(E97,'HOURLY RATES'!C$6:D$105,2,0)=0,$E$3,VLOOKUP(E97,'HOURLY RATES'!C$6:D$105,2,0))</f>
        <v>54</v>
      </c>
      <c r="N97" s="157">
        <f t="shared" ref="N97:N101" si="116">M97*L97</f>
        <v>238.14000000000001</v>
      </c>
      <c r="O97" s="158">
        <v>0.8</v>
      </c>
      <c r="P97" s="158">
        <f t="shared" si="112"/>
        <v>176.4</v>
      </c>
      <c r="Q97" s="159">
        <f t="shared" si="113"/>
        <v>414.54</v>
      </c>
      <c r="R97" s="155"/>
      <c r="S97" s="131">
        <f t="shared" ref="S97:S101" si="117">((((N97*(1+$D$7))+(P97*(1+$D$5+$D$6)))*(1+$D$8)))/I97</f>
        <v>2.3464526400000003</v>
      </c>
      <c r="T97" s="130">
        <f t="shared" si="114"/>
        <v>517.39280712000004</v>
      </c>
    </row>
    <row r="98" spans="1:20" s="7" customFormat="1" ht="46.8" x14ac:dyDescent="0.25">
      <c r="A98" s="152">
        <f>IF(J98&lt;&gt;"",1+MAX($A$18:A96),"")</f>
        <v>46</v>
      </c>
      <c r="B98" s="109"/>
      <c r="C98" s="109"/>
      <c r="D98" s="100" t="s">
        <v>35</v>
      </c>
      <c r="E98" s="179" t="s">
        <v>86</v>
      </c>
      <c r="F98" s="176" t="s">
        <v>818</v>
      </c>
      <c r="G98" s="112">
        <v>4937</v>
      </c>
      <c r="H98" s="113">
        <v>0.05</v>
      </c>
      <c r="I98" s="114">
        <f t="shared" si="109"/>
        <v>5183.8500000000004</v>
      </c>
      <c r="J98" s="99" t="s">
        <v>224</v>
      </c>
      <c r="K98" s="153">
        <v>0.02</v>
      </c>
      <c r="L98" s="156">
        <f t="shared" si="115"/>
        <v>103.67700000000001</v>
      </c>
      <c r="M98" s="58">
        <f>IF(VLOOKUP(E98,'HOURLY RATES'!C$6:D$105,2,0)=0,$E$3,VLOOKUP(E98,'HOURLY RATES'!C$6:D$105,2,0))</f>
        <v>54</v>
      </c>
      <c r="N98" s="157">
        <f t="shared" si="116"/>
        <v>5598.558</v>
      </c>
      <c r="O98" s="158">
        <v>0.8</v>
      </c>
      <c r="P98" s="158">
        <f t="shared" si="112"/>
        <v>4147.0800000000008</v>
      </c>
      <c r="Q98" s="159">
        <f t="shared" si="113"/>
        <v>9745.6380000000008</v>
      </c>
      <c r="R98" s="155"/>
      <c r="S98" s="131">
        <f>((((N98*(1+$D$7))+(P98*(1+$D$5+$D$6)))*(1+$D$8)))/I98</f>
        <v>2.3464526399999999</v>
      </c>
      <c r="T98" s="130">
        <f t="shared" si="114"/>
        <v>12163.658517864</v>
      </c>
    </row>
    <row r="99" spans="1:20" s="7" customFormat="1" ht="46.8" x14ac:dyDescent="0.25">
      <c r="A99" s="152">
        <f>IF(J99&lt;&gt;"",1+MAX($A$18:A98),"")</f>
        <v>47</v>
      </c>
      <c r="B99" s="109"/>
      <c r="C99" s="109"/>
      <c r="D99" s="100" t="s">
        <v>35</v>
      </c>
      <c r="E99" s="179" t="s">
        <v>86</v>
      </c>
      <c r="F99" s="176" t="s">
        <v>819</v>
      </c>
      <c r="G99" s="112">
        <v>148</v>
      </c>
      <c r="H99" s="113">
        <v>0.05</v>
      </c>
      <c r="I99" s="114">
        <f t="shared" ref="I99:I100" si="118">(G99*(1+H99))</f>
        <v>155.4</v>
      </c>
      <c r="J99" s="99" t="s">
        <v>224</v>
      </c>
      <c r="K99" s="153">
        <v>0.02</v>
      </c>
      <c r="L99" s="156">
        <f t="shared" ref="L99:L100" si="119">K99*I99</f>
        <v>3.1080000000000001</v>
      </c>
      <c r="M99" s="58">
        <f>IF(VLOOKUP(E99,'HOURLY RATES'!C$6:D$105,2,0)=0,$E$3,VLOOKUP(E99,'HOURLY RATES'!C$6:D$105,2,0))</f>
        <v>54</v>
      </c>
      <c r="N99" s="157">
        <f t="shared" ref="N99:N100" si="120">M99*L99</f>
        <v>167.83199999999999</v>
      </c>
      <c r="O99" s="158">
        <v>0.8</v>
      </c>
      <c r="P99" s="158">
        <f t="shared" ref="P99:P100" si="121">O99*I99</f>
        <v>124.32000000000001</v>
      </c>
      <c r="Q99" s="159">
        <f t="shared" ref="Q99:Q100" si="122">P99+N99</f>
        <v>292.15199999999999</v>
      </c>
      <c r="R99" s="155"/>
      <c r="S99" s="131">
        <f t="shared" ref="S99:S100" si="123">((((N99*(1+$D$7))+(P99*(1+$D$5+$D$6)))*(1+$D$8)))/I99</f>
        <v>2.3464526399999994</v>
      </c>
      <c r="T99" s="130">
        <f t="shared" ref="T99:T100" si="124">S99*I99</f>
        <v>364.63874025599995</v>
      </c>
    </row>
    <row r="100" spans="1:20" s="7" customFormat="1" ht="46.8" x14ac:dyDescent="0.25">
      <c r="A100" s="152">
        <f>IF(J100&lt;&gt;"",1+MAX($A$18:A96),"")</f>
        <v>46</v>
      </c>
      <c r="B100" s="109"/>
      <c r="C100" s="109"/>
      <c r="D100" s="100" t="s">
        <v>35</v>
      </c>
      <c r="E100" s="179" t="s">
        <v>86</v>
      </c>
      <c r="F100" s="176" t="s">
        <v>814</v>
      </c>
      <c r="G100" s="112">
        <f>304.56+169.2+273.62+300</f>
        <v>1047.3800000000001</v>
      </c>
      <c r="H100" s="113">
        <v>0.05</v>
      </c>
      <c r="I100" s="114">
        <f t="shared" si="118"/>
        <v>1099.7490000000003</v>
      </c>
      <c r="J100" s="99" t="s">
        <v>226</v>
      </c>
      <c r="K100" s="153">
        <v>1.7999999999999999E-2</v>
      </c>
      <c r="L100" s="156">
        <f t="shared" si="119"/>
        <v>19.795482000000003</v>
      </c>
      <c r="M100" s="58">
        <f>IF(VLOOKUP(E100,'HOURLY RATES'!C$6:D$105,2,0)=0,$E$3,VLOOKUP(E100,'HOURLY RATES'!C$6:D$105,2,0))</f>
        <v>54</v>
      </c>
      <c r="N100" s="157">
        <f t="shared" si="120"/>
        <v>1068.9560280000003</v>
      </c>
      <c r="O100" s="158">
        <v>0.8</v>
      </c>
      <c r="P100" s="158">
        <f t="shared" si="121"/>
        <v>879.79920000000027</v>
      </c>
      <c r="Q100" s="159">
        <f t="shared" si="122"/>
        <v>1948.7552280000004</v>
      </c>
      <c r="R100" s="155"/>
      <c r="S100" s="131">
        <f t="shared" si="123"/>
        <v>2.21490864</v>
      </c>
      <c r="T100" s="130">
        <f t="shared" si="124"/>
        <v>2435.8435619313605</v>
      </c>
    </row>
    <row r="101" spans="1:20" s="7" customFormat="1" ht="46.8" x14ac:dyDescent="0.25">
      <c r="A101" s="152">
        <f>IF(J101&lt;&gt;"",1+MAX($A$18:A97),"")</f>
        <v>47</v>
      </c>
      <c r="B101" s="109"/>
      <c r="C101" s="109"/>
      <c r="D101" s="100" t="s">
        <v>35</v>
      </c>
      <c r="E101" s="179" t="s">
        <v>86</v>
      </c>
      <c r="F101" s="176" t="s">
        <v>781</v>
      </c>
      <c r="G101" s="112">
        <f>761.16</f>
        <v>761.16</v>
      </c>
      <c r="H101" s="113">
        <v>0.05</v>
      </c>
      <c r="I101" s="114">
        <f t="shared" si="109"/>
        <v>799.21799999999996</v>
      </c>
      <c r="J101" s="99" t="s">
        <v>226</v>
      </c>
      <c r="K101" s="153">
        <v>1.7999999999999999E-2</v>
      </c>
      <c r="L101" s="156">
        <f t="shared" si="115"/>
        <v>14.385923999999997</v>
      </c>
      <c r="M101" s="58">
        <f>IF(VLOOKUP(E101,'HOURLY RATES'!C$6:D$105,2,0)=0,$E$3,VLOOKUP(E101,'HOURLY RATES'!C$6:D$105,2,0))</f>
        <v>54</v>
      </c>
      <c r="N101" s="157">
        <f t="shared" si="116"/>
        <v>776.83989599999984</v>
      </c>
      <c r="O101" s="158">
        <v>0.8</v>
      </c>
      <c r="P101" s="158">
        <f t="shared" si="112"/>
        <v>639.37440000000004</v>
      </c>
      <c r="Q101" s="159">
        <f t="shared" si="113"/>
        <v>1416.2142959999999</v>
      </c>
      <c r="R101" s="155"/>
      <c r="S101" s="131">
        <f t="shared" si="117"/>
        <v>2.2149086399999995</v>
      </c>
      <c r="T101" s="130">
        <f t="shared" si="114"/>
        <v>1770.1948534435196</v>
      </c>
    </row>
    <row r="102" spans="1:20" s="7" customFormat="1" x14ac:dyDescent="0.25">
      <c r="A102" s="152" t="str">
        <f>IF(J102&lt;&gt;"",1+MAX($A$18:A101),"")</f>
        <v/>
      </c>
      <c r="B102" s="50"/>
      <c r="C102" s="50"/>
      <c r="D102" s="100"/>
      <c r="E102" s="178"/>
      <c r="F102" s="175" t="s">
        <v>222</v>
      </c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0" s="7" customFormat="1" ht="18" x14ac:dyDescent="0.25">
      <c r="A103" s="152" t="str">
        <f>IF(J103&lt;&gt;"",1+MAX($A$18:A102),"")</f>
        <v/>
      </c>
      <c r="B103" s="50"/>
      <c r="C103" s="63"/>
      <c r="D103" s="100"/>
      <c r="E103" s="178"/>
      <c r="F103" s="173" t="s">
        <v>720</v>
      </c>
      <c r="G103" s="51"/>
      <c r="H103" s="52"/>
      <c r="I103" s="53"/>
      <c r="J103" s="99"/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0" s="7" customFormat="1" x14ac:dyDescent="0.25">
      <c r="A104" s="152">
        <f>IF(J104&lt;&gt;"",1+MAX($A$18:A103),"")</f>
        <v>48</v>
      </c>
      <c r="B104" s="50"/>
      <c r="C104" s="63"/>
      <c r="D104" s="100"/>
      <c r="E104" s="178"/>
      <c r="F104" s="177" t="s">
        <v>761</v>
      </c>
      <c r="G104" s="108">
        <v>1</v>
      </c>
      <c r="H104" s="52"/>
      <c r="I104" s="53"/>
      <c r="J104" s="99" t="s">
        <v>225</v>
      </c>
      <c r="K104" s="153"/>
      <c r="L104" s="60"/>
      <c r="M104" s="58"/>
      <c r="N104" s="58"/>
      <c r="O104" s="61"/>
      <c r="P104" s="61"/>
      <c r="Q104" s="62"/>
      <c r="R104" s="155"/>
      <c r="S104" s="131"/>
      <c r="T104" s="130"/>
    </row>
    <row r="105" spans="1:20" s="7" customFormat="1" x14ac:dyDescent="0.25">
      <c r="A105" s="152" t="str">
        <f>IF(J105&lt;&gt;"",1+MAX($A$18:A104),"")</f>
        <v/>
      </c>
      <c r="B105" s="50"/>
      <c r="C105" s="63"/>
      <c r="D105" s="100"/>
      <c r="E105" s="178"/>
      <c r="F105" s="172" t="s">
        <v>722</v>
      </c>
      <c r="G105" s="51"/>
      <c r="H105" s="52"/>
      <c r="I105" s="53"/>
      <c r="J105" s="99"/>
      <c r="K105" s="153"/>
      <c r="L105" s="60"/>
      <c r="M105" s="58"/>
      <c r="N105" s="58"/>
      <c r="O105" s="61"/>
      <c r="P105" s="61"/>
      <c r="Q105" s="62"/>
      <c r="R105" s="155"/>
      <c r="S105" s="131"/>
      <c r="T105" s="130"/>
    </row>
    <row r="106" spans="1:20" s="7" customFormat="1" ht="31.2" x14ac:dyDescent="0.25">
      <c r="A106" s="152">
        <f>IF(J106&lt;&gt;"",1+MAX($A$18:A105),"")</f>
        <v>49</v>
      </c>
      <c r="B106" s="50"/>
      <c r="C106" s="50"/>
      <c r="D106" s="100" t="s">
        <v>35</v>
      </c>
      <c r="E106" s="178" t="s">
        <v>104</v>
      </c>
      <c r="F106" s="175" t="s">
        <v>758</v>
      </c>
      <c r="G106" s="51">
        <v>796</v>
      </c>
      <c r="H106" s="52">
        <f>IF(VLOOKUP(J106,'HOURLY RATES'!B$116:C$124,2,0)=0,$J$3,VLOOKUP(J106,'HOURLY RATES'!B$116:C$124,2,0))</f>
        <v>0.05</v>
      </c>
      <c r="I106" s="53">
        <f t="shared" ref="I106" si="125">(G106*(1+H106))</f>
        <v>835.80000000000007</v>
      </c>
      <c r="J106" s="99" t="s">
        <v>224</v>
      </c>
      <c r="K106" s="153">
        <v>2.1999999999999999E-2</v>
      </c>
      <c r="L106" s="60">
        <f t="shared" ref="L106" si="126">K106*I106</f>
        <v>18.387599999999999</v>
      </c>
      <c r="M106" s="58">
        <f>IF(VLOOKUP(E106,'HOURLY RATES'!C$6:D$105,2,0)=0,$E$3,VLOOKUP(E106,'HOURLY RATES'!C$6:D$105,2,0))</f>
        <v>54</v>
      </c>
      <c r="N106" s="58">
        <f t="shared" ref="N106" si="127">M106*L106</f>
        <v>992.93039999999996</v>
      </c>
      <c r="O106" s="61">
        <v>0.4</v>
      </c>
      <c r="P106" s="61">
        <f t="shared" ref="P106" si="128">O106*I106</f>
        <v>334.32000000000005</v>
      </c>
      <c r="Q106" s="62">
        <f t="shared" ref="Q106" si="129">P106+N106</f>
        <v>1327.2503999999999</v>
      </c>
      <c r="R106" s="155"/>
      <c r="S106" s="131">
        <f>((((N106*(1+$D$7))+(P106*(1+$D$5+$D$6)))*(1+$D$8)))/I106</f>
        <v>1.9624903199999999</v>
      </c>
      <c r="T106" s="130">
        <f t="shared" ref="T106" si="130">S106*I106</f>
        <v>1640.249409456</v>
      </c>
    </row>
    <row r="107" spans="1:20" s="7" customFormat="1" x14ac:dyDescent="0.25">
      <c r="A107" s="152"/>
      <c r="B107" s="50"/>
      <c r="C107" s="63"/>
      <c r="D107" s="100"/>
      <c r="E107" s="178"/>
      <c r="F107" s="103"/>
      <c r="G107" s="51"/>
      <c r="H107" s="52"/>
      <c r="I107" s="53"/>
      <c r="J107" s="99"/>
      <c r="K107" s="153"/>
      <c r="L107" s="60"/>
      <c r="M107" s="58"/>
      <c r="N107" s="58"/>
      <c r="O107" s="61"/>
      <c r="P107" s="61"/>
      <c r="Q107" s="62"/>
      <c r="R107" s="155"/>
      <c r="S107" s="131"/>
      <c r="T107" s="130"/>
    </row>
    <row r="108" spans="1:20" s="7" customFormat="1" x14ac:dyDescent="0.25">
      <c r="A108" s="152" t="str">
        <f>IF(J108&lt;&gt;"",1+MAX($A$18:A106),"")</f>
        <v/>
      </c>
      <c r="B108" s="50"/>
      <c r="C108" s="63"/>
      <c r="D108" s="100"/>
      <c r="E108" s="178"/>
      <c r="F108" s="172" t="s">
        <v>719</v>
      </c>
      <c r="G108" s="51"/>
      <c r="H108" s="52"/>
      <c r="I108" s="53"/>
      <c r="J108" s="99"/>
      <c r="K108" s="153"/>
      <c r="L108" s="60"/>
      <c r="M108" s="58"/>
      <c r="N108" s="58"/>
      <c r="O108" s="61"/>
      <c r="P108" s="61"/>
      <c r="Q108" s="62"/>
      <c r="R108" s="155"/>
      <c r="S108" s="131"/>
      <c r="T108" s="130"/>
    </row>
    <row r="109" spans="1:20" s="7" customFormat="1" ht="31.2" x14ac:dyDescent="0.25">
      <c r="A109" s="152">
        <f>IF(J109&lt;&gt;"",1+MAX($A$18:A108),"")</f>
        <v>50</v>
      </c>
      <c r="B109" s="50"/>
      <c r="C109" s="50"/>
      <c r="D109" s="100" t="s">
        <v>35</v>
      </c>
      <c r="E109" s="178" t="s">
        <v>104</v>
      </c>
      <c r="F109" s="175" t="s">
        <v>760</v>
      </c>
      <c r="G109" s="51">
        <v>275</v>
      </c>
      <c r="H109" s="52">
        <f>IF(VLOOKUP(J109,'HOURLY RATES'!B$116:C$124,2,0)=0,$J$3,VLOOKUP(J109,'HOURLY RATES'!B$116:C$124,2,0))</f>
        <v>0.05</v>
      </c>
      <c r="I109" s="53">
        <f t="shared" ref="I109:I112" si="131">(G109*(1+H109))</f>
        <v>288.75</v>
      </c>
      <c r="J109" s="99" t="s">
        <v>226</v>
      </c>
      <c r="K109" s="153">
        <v>1.7999999999999999E-2</v>
      </c>
      <c r="L109" s="60">
        <f t="shared" ref="L109" si="132">K109*I109</f>
        <v>5.1974999999999998</v>
      </c>
      <c r="M109" s="58">
        <f>IF(VLOOKUP(E109,'HOURLY RATES'!C$6:D$105,2,0)=0,$E$3,VLOOKUP(E109,'HOURLY RATES'!C$6:D$105,2,0))</f>
        <v>54</v>
      </c>
      <c r="N109" s="58">
        <f t="shared" ref="N109" si="133">M109*L109</f>
        <v>280.66499999999996</v>
      </c>
      <c r="O109" s="61">
        <v>0.8</v>
      </c>
      <c r="P109" s="61">
        <f t="shared" ref="P109:P112" si="134">O109*I109</f>
        <v>231</v>
      </c>
      <c r="Q109" s="62">
        <f t="shared" ref="Q109:Q112" si="135">P109+N109</f>
        <v>511.66499999999996</v>
      </c>
      <c r="R109" s="155"/>
      <c r="S109" s="131">
        <f>((((N109*(1+$D$7))+(P109*(1+$D$5+$D$6)))*(1+$D$8)))/I109</f>
        <v>2.2149086399999995</v>
      </c>
      <c r="T109" s="130">
        <f t="shared" ref="T109:T112" si="136">S109*I109</f>
        <v>639.55486979999989</v>
      </c>
    </row>
    <row r="110" spans="1:20" s="7" customFormat="1" x14ac:dyDescent="0.25">
      <c r="A110" s="152"/>
      <c r="B110" s="50"/>
      <c r="C110" s="63"/>
      <c r="D110" s="100"/>
      <c r="E110" s="178"/>
      <c r="F110" s="103"/>
      <c r="G110" s="51"/>
      <c r="H110" s="52"/>
      <c r="I110" s="53"/>
      <c r="J110" s="99"/>
      <c r="K110" s="153"/>
      <c r="L110" s="60"/>
      <c r="M110" s="58"/>
      <c r="N110" s="58"/>
      <c r="O110" s="61"/>
      <c r="P110" s="61"/>
      <c r="Q110" s="62"/>
      <c r="R110" s="155"/>
      <c r="S110" s="131"/>
      <c r="T110" s="130"/>
    </row>
    <row r="111" spans="1:20" s="7" customFormat="1" x14ac:dyDescent="0.25">
      <c r="A111" s="152" t="str">
        <f>IF(J111&lt;&gt;"",1+MAX($A$18:A109),"")</f>
        <v/>
      </c>
      <c r="B111" s="50"/>
      <c r="C111" s="63"/>
      <c r="D111" s="100"/>
      <c r="E111" s="178"/>
      <c r="F111" s="172" t="s">
        <v>223</v>
      </c>
      <c r="G111" s="51"/>
      <c r="H111" s="52"/>
      <c r="I111" s="53"/>
      <c r="J111" s="99"/>
      <c r="K111" s="153"/>
      <c r="L111" s="60"/>
      <c r="M111" s="58"/>
      <c r="N111" s="58"/>
      <c r="O111" s="61"/>
      <c r="P111" s="61"/>
      <c r="Q111" s="62"/>
      <c r="R111" s="155"/>
      <c r="S111" s="131"/>
      <c r="T111" s="130"/>
    </row>
    <row r="112" spans="1:20" s="7" customFormat="1" ht="31.2" x14ac:dyDescent="0.25">
      <c r="A112" s="152">
        <f>IF(J112&lt;&gt;"",1+MAX($A$18:A111),"")</f>
        <v>51</v>
      </c>
      <c r="B112" s="50"/>
      <c r="C112" s="50"/>
      <c r="D112" s="100" t="s">
        <v>35</v>
      </c>
      <c r="E112" s="178" t="s">
        <v>104</v>
      </c>
      <c r="F112" s="175" t="s">
        <v>757</v>
      </c>
      <c r="G112" s="51">
        <f>2612+34</f>
        <v>2646</v>
      </c>
      <c r="H112" s="52">
        <f>IF(VLOOKUP(J112,'HOURLY RATES'!B$116:C$124,2,0)=0,$J$3,VLOOKUP(J112,'HOURLY RATES'!B$116:C$124,2,0))</f>
        <v>0.05</v>
      </c>
      <c r="I112" s="53">
        <f t="shared" si="131"/>
        <v>2778.3</v>
      </c>
      <c r="J112" s="99" t="s">
        <v>224</v>
      </c>
      <c r="K112" s="153">
        <v>0.02</v>
      </c>
      <c r="L112" s="60">
        <f t="shared" ref="L112" si="137">K112*I112</f>
        <v>55.566000000000003</v>
      </c>
      <c r="M112" s="58">
        <f>IF(VLOOKUP(E112,'HOURLY RATES'!C$6:D$105,2,0)=0,$E$3,VLOOKUP(E112,'HOURLY RATES'!C$6:D$105,2,0))</f>
        <v>54</v>
      </c>
      <c r="N112" s="58">
        <f t="shared" ref="N112" si="138">M112*L112</f>
        <v>3000.5640000000003</v>
      </c>
      <c r="O112" s="61">
        <v>0.4</v>
      </c>
      <c r="P112" s="61">
        <f t="shared" si="134"/>
        <v>1111.3200000000002</v>
      </c>
      <c r="Q112" s="62">
        <f t="shared" si="135"/>
        <v>4111.884</v>
      </c>
      <c r="R112" s="155"/>
      <c r="S112" s="131">
        <f>((((N112*(1+$D$7))+(P112*(1+$D$5+$D$6)))*(1+$D$8)))/I112</f>
        <v>1.83094632</v>
      </c>
      <c r="T112" s="130">
        <f t="shared" si="136"/>
        <v>5086.9181608560002</v>
      </c>
    </row>
    <row r="113" spans="1:20" s="7" customFormat="1" ht="31.2" x14ac:dyDescent="0.25">
      <c r="A113" s="152">
        <f>IF(J113&lt;&gt;"",1+MAX($A$18:A112),"")</f>
        <v>52</v>
      </c>
      <c r="B113" s="50"/>
      <c r="C113" s="50"/>
      <c r="D113" s="100" t="s">
        <v>35</v>
      </c>
      <c r="E113" s="178" t="s">
        <v>104</v>
      </c>
      <c r="F113" s="175" t="s">
        <v>759</v>
      </c>
      <c r="G113" s="51">
        <f>880+99</f>
        <v>979</v>
      </c>
      <c r="H113" s="52">
        <f>IF(VLOOKUP(J113,'HOURLY RATES'!B$116:C$124,2,0)=0,$J$3,VLOOKUP(J113,'HOURLY RATES'!B$116:C$124,2,0))</f>
        <v>0.05</v>
      </c>
      <c r="I113" s="53">
        <f t="shared" ref="I113" si="139">(G113*(1+H113))</f>
        <v>1027.95</v>
      </c>
      <c r="J113" s="99" t="s">
        <v>224</v>
      </c>
      <c r="K113" s="153">
        <v>0.02</v>
      </c>
      <c r="L113" s="60">
        <f t="shared" ref="L113" si="140">K113*I113</f>
        <v>20.559000000000001</v>
      </c>
      <c r="M113" s="58">
        <f>IF(VLOOKUP(E113,'HOURLY RATES'!C$6:D$105,2,0)=0,$E$3,VLOOKUP(E113,'HOURLY RATES'!C$6:D$105,2,0))</f>
        <v>54</v>
      </c>
      <c r="N113" s="58">
        <f t="shared" ref="N113" si="141">M113*L113</f>
        <v>1110.1860000000001</v>
      </c>
      <c r="O113" s="61">
        <v>0.4</v>
      </c>
      <c r="P113" s="61">
        <f t="shared" ref="P113" si="142">O113*I113</f>
        <v>411.18000000000006</v>
      </c>
      <c r="Q113" s="62">
        <f t="shared" ref="Q113" si="143">P113+N113</f>
        <v>1521.3660000000002</v>
      </c>
      <c r="R113" s="155"/>
      <c r="S113" s="131">
        <f>((((N113*(1+$D$7))+(P113*(1+$D$5+$D$6)))*(1+$D$8)))/I113</f>
        <v>1.83094632</v>
      </c>
      <c r="T113" s="130">
        <f t="shared" ref="T113" si="144">S113*I113</f>
        <v>1882.121269644</v>
      </c>
    </row>
    <row r="114" spans="1:20" s="7" customFormat="1" x14ac:dyDescent="0.25">
      <c r="A114" s="152"/>
      <c r="B114" s="50"/>
      <c r="C114" s="63"/>
      <c r="D114" s="100"/>
      <c r="E114" s="178"/>
      <c r="F114" s="103"/>
      <c r="G114" s="51"/>
      <c r="H114" s="52"/>
      <c r="I114" s="53"/>
      <c r="J114" s="99"/>
      <c r="K114" s="153"/>
      <c r="L114" s="60"/>
      <c r="M114" s="58"/>
      <c r="N114" s="58"/>
      <c r="O114" s="61"/>
      <c r="P114" s="61"/>
      <c r="Q114" s="62"/>
      <c r="R114" s="155"/>
      <c r="S114" s="131"/>
      <c r="T114" s="130"/>
    </row>
    <row r="115" spans="1:20" s="7" customFormat="1" x14ac:dyDescent="0.25">
      <c r="A115" s="152" t="str">
        <f>IF(J115&lt;&gt;"",1+MAX($A$18:A112),"")</f>
        <v/>
      </c>
      <c r="B115" s="50"/>
      <c r="C115" s="63"/>
      <c r="D115" s="100"/>
      <c r="E115" s="178"/>
      <c r="F115" s="172" t="s">
        <v>723</v>
      </c>
      <c r="G115" s="51"/>
      <c r="H115" s="52"/>
      <c r="I115" s="53"/>
      <c r="J115" s="99"/>
      <c r="K115" s="153"/>
      <c r="L115" s="60"/>
      <c r="M115" s="58"/>
      <c r="N115" s="58"/>
      <c r="O115" s="61"/>
      <c r="P115" s="61"/>
      <c r="Q115" s="62"/>
      <c r="R115" s="155"/>
      <c r="S115" s="131"/>
      <c r="T115" s="130"/>
    </row>
    <row r="116" spans="1:20" s="7" customFormat="1" ht="31.2" x14ac:dyDescent="0.25">
      <c r="A116" s="152">
        <f>IF(J116&lt;&gt;"",1+MAX($A$18:A115),"")</f>
        <v>53</v>
      </c>
      <c r="B116" s="50"/>
      <c r="C116" s="50"/>
      <c r="D116" s="100" t="s">
        <v>35</v>
      </c>
      <c r="E116" s="178" t="s">
        <v>104</v>
      </c>
      <c r="F116" s="175" t="s">
        <v>804</v>
      </c>
      <c r="G116" s="51">
        <v>9</v>
      </c>
      <c r="H116" s="52">
        <f>IF(VLOOKUP(J116,'HOURLY RATES'!B$116:C$124,2,0)=0,$J$3,VLOOKUP(J116,'HOURLY RATES'!B$116:C$124,2,0))</f>
        <v>0</v>
      </c>
      <c r="I116" s="53">
        <f t="shared" ref="I116:I118" si="145">(G116*(1+H116))</f>
        <v>9</v>
      </c>
      <c r="J116" s="99" t="s">
        <v>225</v>
      </c>
      <c r="K116" s="153">
        <v>1.23</v>
      </c>
      <c r="L116" s="60">
        <f t="shared" ref="L116" si="146">K116*I116</f>
        <v>11.07</v>
      </c>
      <c r="M116" s="58">
        <f>IF(VLOOKUP(E116,'HOURLY RATES'!C$6:D$105,2,0)=0,$E$3,VLOOKUP(E116,'HOURLY RATES'!C$6:D$105,2,0))</f>
        <v>54</v>
      </c>
      <c r="N116" s="58">
        <f t="shared" ref="N116" si="147">M116*L116</f>
        <v>597.78</v>
      </c>
      <c r="O116" s="61">
        <v>28</v>
      </c>
      <c r="P116" s="61">
        <f t="shared" ref="P116:P118" si="148">O116*I116</f>
        <v>252</v>
      </c>
      <c r="Q116" s="62">
        <f t="shared" ref="Q116:Q118" si="149">P116+N116</f>
        <v>849.78</v>
      </c>
      <c r="R116" s="155"/>
      <c r="S116" s="131">
        <f>((((N116*(1+$D$7))+(P116*(1+$D$5+$D$6)))*(1+$D$8)))/I116</f>
        <v>116.98500239999998</v>
      </c>
      <c r="T116" s="130">
        <f t="shared" ref="T116:T118" si="150">S116*I116</f>
        <v>1052.8650215999999</v>
      </c>
    </row>
    <row r="117" spans="1:20" s="7" customFormat="1" ht="31.2" x14ac:dyDescent="0.25">
      <c r="A117" s="152">
        <f>IF(J117&lt;&gt;"",1+MAX($A$18:A116),"")</f>
        <v>54</v>
      </c>
      <c r="B117" s="50"/>
      <c r="C117" s="50"/>
      <c r="D117" s="100" t="s">
        <v>35</v>
      </c>
      <c r="E117" s="178" t="s">
        <v>104</v>
      </c>
      <c r="F117" s="175" t="s">
        <v>805</v>
      </c>
      <c r="G117" s="51">
        <v>152</v>
      </c>
      <c r="H117" s="52">
        <f>IF(VLOOKUP(J117,'HOURLY RATES'!B$116:C$124,2,0)=0,$J$3,VLOOKUP(J117,'HOURLY RATES'!B$116:C$124,2,0))</f>
        <v>0.05</v>
      </c>
      <c r="I117" s="53">
        <f t="shared" si="145"/>
        <v>159.6</v>
      </c>
      <c r="J117" s="99" t="s">
        <v>226</v>
      </c>
      <c r="K117" s="153">
        <v>1.7999999999999999E-2</v>
      </c>
      <c r="L117" s="60">
        <f t="shared" ref="L117:L118" si="151">K117*I117</f>
        <v>2.8727999999999998</v>
      </c>
      <c r="M117" s="58">
        <f>IF(VLOOKUP(E117,'HOURLY RATES'!C$6:D$105,2,0)=0,$E$3,VLOOKUP(E117,'HOURLY RATES'!C$6:D$105,2,0))</f>
        <v>54</v>
      </c>
      <c r="N117" s="58">
        <f t="shared" ref="N117:N118" si="152">M117*L117</f>
        <v>155.13119999999998</v>
      </c>
      <c r="O117" s="61">
        <v>0.8</v>
      </c>
      <c r="P117" s="61">
        <f t="shared" si="148"/>
        <v>127.68</v>
      </c>
      <c r="Q117" s="62">
        <f t="shared" si="149"/>
        <v>282.81119999999999</v>
      </c>
      <c r="R117" s="155"/>
      <c r="S117" s="131">
        <f>((((N117*(1+$D$7))+(P117*(1+$D$5+$D$6)))*(1+$D$8)))/I117</f>
        <v>2.2149086399999995</v>
      </c>
      <c r="T117" s="130">
        <f t="shared" si="150"/>
        <v>353.4994189439999</v>
      </c>
    </row>
    <row r="118" spans="1:20" s="7" customFormat="1" ht="31.2" x14ac:dyDescent="0.25">
      <c r="A118" s="152">
        <f>IF(J118&lt;&gt;"",1+MAX($A$18:A117),"")</f>
        <v>55</v>
      </c>
      <c r="B118" s="50"/>
      <c r="C118" s="50"/>
      <c r="D118" s="100" t="s">
        <v>35</v>
      </c>
      <c r="E118" s="178" t="s">
        <v>104</v>
      </c>
      <c r="F118" s="175" t="s">
        <v>806</v>
      </c>
      <c r="G118" s="51">
        <v>304</v>
      </c>
      <c r="H118" s="52">
        <f>IF(VLOOKUP(J118,'HOURLY RATES'!B$116:C$124,2,0)=0,$J$3,VLOOKUP(J118,'HOURLY RATES'!B$116:C$124,2,0))</f>
        <v>0.05</v>
      </c>
      <c r="I118" s="53">
        <f t="shared" si="145"/>
        <v>319.2</v>
      </c>
      <c r="J118" s="99" t="s">
        <v>226</v>
      </c>
      <c r="K118" s="153">
        <v>1.7999999999999999E-2</v>
      </c>
      <c r="L118" s="60">
        <f t="shared" si="151"/>
        <v>5.7455999999999996</v>
      </c>
      <c r="M118" s="58">
        <f>IF(VLOOKUP(E118,'HOURLY RATES'!C$6:D$105,2,0)=0,$E$3,VLOOKUP(E118,'HOURLY RATES'!C$6:D$105,2,0))</f>
        <v>54</v>
      </c>
      <c r="N118" s="58">
        <f t="shared" si="152"/>
        <v>310.26239999999996</v>
      </c>
      <c r="O118" s="61">
        <v>0.8</v>
      </c>
      <c r="P118" s="61">
        <f t="shared" si="148"/>
        <v>255.36</v>
      </c>
      <c r="Q118" s="62">
        <f t="shared" si="149"/>
        <v>565.62239999999997</v>
      </c>
      <c r="R118" s="155"/>
      <c r="S118" s="131">
        <f>((((N118*(1+$D$7))+(P118*(1+$D$5+$D$6)))*(1+$D$8)))/I118</f>
        <v>2.2149086399999995</v>
      </c>
      <c r="T118" s="130">
        <f t="shared" si="150"/>
        <v>706.9988378879998</v>
      </c>
    </row>
    <row r="119" spans="1:20" s="7" customFormat="1" x14ac:dyDescent="0.25">
      <c r="A119" s="152"/>
      <c r="B119" s="50"/>
      <c r="C119" s="63"/>
      <c r="D119" s="100"/>
      <c r="E119" s="178"/>
      <c r="F119" s="103"/>
      <c r="G119" s="51"/>
      <c r="H119" s="52"/>
      <c r="I119" s="53"/>
      <c r="J119" s="99"/>
      <c r="K119" s="153"/>
      <c r="L119" s="60"/>
      <c r="M119" s="58"/>
      <c r="N119" s="58"/>
      <c r="O119" s="61"/>
      <c r="P119" s="61"/>
      <c r="Q119" s="62"/>
      <c r="R119" s="155"/>
      <c r="S119" s="131"/>
      <c r="T119" s="130"/>
    </row>
    <row r="120" spans="1:20" s="7" customFormat="1" x14ac:dyDescent="0.25">
      <c r="A120" s="152">
        <f>IF(J120&lt;&gt;"",1+MAX($A$18:A118),"")</f>
        <v>56</v>
      </c>
      <c r="B120" s="50"/>
      <c r="C120" s="63"/>
      <c r="D120" s="100"/>
      <c r="E120" s="178"/>
      <c r="F120" s="177" t="s">
        <v>751</v>
      </c>
      <c r="G120" s="108">
        <v>3</v>
      </c>
      <c r="H120" s="52"/>
      <c r="I120" s="53"/>
      <c r="J120" s="99" t="s">
        <v>225</v>
      </c>
      <c r="K120" s="153"/>
      <c r="L120" s="60"/>
      <c r="M120" s="58"/>
      <c r="N120" s="58"/>
      <c r="O120" s="61"/>
      <c r="P120" s="61"/>
      <c r="Q120" s="62"/>
      <c r="R120" s="155"/>
      <c r="S120" s="131"/>
      <c r="T120" s="130"/>
    </row>
    <row r="121" spans="1:20" s="7" customFormat="1" x14ac:dyDescent="0.25">
      <c r="A121" s="152" t="str">
        <f>IF(J121&lt;&gt;"",1+MAX($A$18:A120),"")</f>
        <v/>
      </c>
      <c r="B121" s="50"/>
      <c r="C121" s="63"/>
      <c r="D121" s="100"/>
      <c r="E121" s="178"/>
      <c r="F121" s="172" t="s">
        <v>722</v>
      </c>
      <c r="G121" s="51"/>
      <c r="H121" s="52"/>
      <c r="I121" s="53"/>
      <c r="J121" s="99"/>
      <c r="K121" s="153"/>
      <c r="L121" s="60"/>
      <c r="M121" s="58"/>
      <c r="N121" s="58"/>
      <c r="O121" s="61"/>
      <c r="P121" s="61"/>
      <c r="Q121" s="62"/>
      <c r="R121" s="155"/>
      <c r="S121" s="131"/>
      <c r="T121" s="130"/>
    </row>
    <row r="122" spans="1:20" s="7" customFormat="1" ht="31.2" x14ac:dyDescent="0.25">
      <c r="A122" s="152">
        <f>IF(J122&lt;&gt;"",1+MAX($A$18:A121),"")</f>
        <v>57</v>
      </c>
      <c r="B122" s="50"/>
      <c r="C122" s="50"/>
      <c r="D122" s="100" t="s">
        <v>35</v>
      </c>
      <c r="E122" s="178" t="s">
        <v>104</v>
      </c>
      <c r="F122" s="175" t="s">
        <v>758</v>
      </c>
      <c r="G122" s="51">
        <f>966*3</f>
        <v>2898</v>
      </c>
      <c r="H122" s="52">
        <f>IF(VLOOKUP(J122,'HOURLY RATES'!B$116:C$124,2,0)=0,$J$3,VLOOKUP(J122,'HOURLY RATES'!B$116:C$124,2,0))</f>
        <v>0.05</v>
      </c>
      <c r="I122" s="53">
        <f t="shared" ref="I122" si="153">(G122*(1+H122))</f>
        <v>3042.9</v>
      </c>
      <c r="J122" s="99" t="s">
        <v>224</v>
      </c>
      <c r="K122" s="153">
        <v>2.1999999999999999E-2</v>
      </c>
      <c r="L122" s="60">
        <f t="shared" ref="L122" si="154">K122*I122</f>
        <v>66.943799999999996</v>
      </c>
      <c r="M122" s="58">
        <f>IF(VLOOKUP(E122,'HOURLY RATES'!C$6:D$105,2,0)=0,$E$3,VLOOKUP(E122,'HOURLY RATES'!C$6:D$105,2,0))</f>
        <v>54</v>
      </c>
      <c r="N122" s="58">
        <f t="shared" ref="N122" si="155">M122*L122</f>
        <v>3614.9651999999996</v>
      </c>
      <c r="O122" s="61">
        <v>0.4</v>
      </c>
      <c r="P122" s="61">
        <f t="shared" ref="P122" si="156">O122*I122</f>
        <v>1217.1600000000001</v>
      </c>
      <c r="Q122" s="62">
        <f t="shared" ref="Q122" si="157">P122+N122</f>
        <v>4832.1251999999995</v>
      </c>
      <c r="R122" s="155"/>
      <c r="S122" s="131">
        <f>((((N122*(1+$D$7))+(P122*(1+$D$5+$D$6)))*(1+$D$8)))/I122</f>
        <v>1.9624903199999995</v>
      </c>
      <c r="T122" s="130">
        <f t="shared" ref="T122" si="158">S122*I122</f>
        <v>5971.6617947279983</v>
      </c>
    </row>
    <row r="123" spans="1:20" s="7" customFormat="1" x14ac:dyDescent="0.25">
      <c r="A123" s="152"/>
      <c r="B123" s="50"/>
      <c r="C123" s="63"/>
      <c r="D123" s="100"/>
      <c r="E123" s="178"/>
      <c r="F123" s="103"/>
      <c r="G123" s="51"/>
      <c r="H123" s="52"/>
      <c r="I123" s="53"/>
      <c r="J123" s="99"/>
      <c r="K123" s="153"/>
      <c r="L123" s="60"/>
      <c r="M123" s="58"/>
      <c r="N123" s="58"/>
      <c r="O123" s="61"/>
      <c r="P123" s="61"/>
      <c r="Q123" s="62"/>
      <c r="R123" s="155"/>
      <c r="S123" s="131"/>
      <c r="T123" s="130"/>
    </row>
    <row r="124" spans="1:20" s="7" customFormat="1" x14ac:dyDescent="0.25">
      <c r="A124" s="152" t="str">
        <f>IF(J124&lt;&gt;"",1+MAX($A$18:A122),"")</f>
        <v/>
      </c>
      <c r="B124" s="50"/>
      <c r="C124" s="63"/>
      <c r="D124" s="100"/>
      <c r="E124" s="178"/>
      <c r="F124" s="172" t="s">
        <v>719</v>
      </c>
      <c r="G124" s="51"/>
      <c r="H124" s="52"/>
      <c r="I124" s="53"/>
      <c r="J124" s="99"/>
      <c r="K124" s="153"/>
      <c r="L124" s="60"/>
      <c r="M124" s="58"/>
      <c r="N124" s="58"/>
      <c r="O124" s="61"/>
      <c r="P124" s="61"/>
      <c r="Q124" s="62"/>
      <c r="R124" s="155"/>
      <c r="S124" s="131"/>
      <c r="T124" s="130"/>
    </row>
    <row r="125" spans="1:20" s="7" customFormat="1" ht="31.2" x14ac:dyDescent="0.25">
      <c r="A125" s="152">
        <f>IF(J125&lt;&gt;"",1+MAX($A$18:A124),"")</f>
        <v>58</v>
      </c>
      <c r="B125" s="50"/>
      <c r="C125" s="50"/>
      <c r="D125" s="100" t="s">
        <v>35</v>
      </c>
      <c r="E125" s="178" t="s">
        <v>104</v>
      </c>
      <c r="F125" s="175" t="s">
        <v>760</v>
      </c>
      <c r="G125" s="51">
        <f>280*3</f>
        <v>840</v>
      </c>
      <c r="H125" s="52">
        <f>IF(VLOOKUP(J125,'HOURLY RATES'!B$116:C$124,2,0)=0,$J$3,VLOOKUP(J125,'HOURLY RATES'!B$116:C$124,2,0))</f>
        <v>0.05</v>
      </c>
      <c r="I125" s="53">
        <f t="shared" ref="I125:I128" si="159">(G125*(1+H125))</f>
        <v>882</v>
      </c>
      <c r="J125" s="99" t="s">
        <v>226</v>
      </c>
      <c r="K125" s="153">
        <v>1.7999999999999999E-2</v>
      </c>
      <c r="L125" s="60">
        <f t="shared" ref="L125" si="160">K125*I125</f>
        <v>15.875999999999999</v>
      </c>
      <c r="M125" s="58">
        <f>IF(VLOOKUP(E125,'HOURLY RATES'!C$6:D$105,2,0)=0,$E$3,VLOOKUP(E125,'HOURLY RATES'!C$6:D$105,2,0))</f>
        <v>54</v>
      </c>
      <c r="N125" s="58">
        <f t="shared" ref="N125" si="161">M125*L125</f>
        <v>857.30399999999997</v>
      </c>
      <c r="O125" s="61">
        <v>0.8</v>
      </c>
      <c r="P125" s="61">
        <f t="shared" ref="P125:P128" si="162">O125*I125</f>
        <v>705.6</v>
      </c>
      <c r="Q125" s="62">
        <f t="shared" ref="Q125:Q128" si="163">P125+N125</f>
        <v>1562.904</v>
      </c>
      <c r="R125" s="155"/>
      <c r="S125" s="131">
        <f>((((N125*(1+$D$7))+(P125*(1+$D$5+$D$6)))*(1+$D$8)))/I125</f>
        <v>2.2149086399999995</v>
      </c>
      <c r="T125" s="130">
        <f t="shared" ref="T125:T128" si="164">S125*I125</f>
        <v>1953.5494204799995</v>
      </c>
    </row>
    <row r="126" spans="1:20" s="7" customFormat="1" x14ac:dyDescent="0.25">
      <c r="A126" s="152"/>
      <c r="B126" s="50"/>
      <c r="C126" s="63"/>
      <c r="D126" s="100"/>
      <c r="E126" s="178"/>
      <c r="F126" s="103"/>
      <c r="G126" s="51"/>
      <c r="H126" s="52"/>
      <c r="I126" s="53"/>
      <c r="J126" s="99"/>
      <c r="K126" s="153"/>
      <c r="L126" s="60"/>
      <c r="M126" s="58"/>
      <c r="N126" s="58"/>
      <c r="O126" s="61"/>
      <c r="P126" s="61"/>
      <c r="Q126" s="62"/>
      <c r="R126" s="155"/>
      <c r="S126" s="131"/>
      <c r="T126" s="130"/>
    </row>
    <row r="127" spans="1:20" s="7" customFormat="1" x14ac:dyDescent="0.25">
      <c r="A127" s="152" t="str">
        <f>IF(J127&lt;&gt;"",1+MAX($A$18:A125),"")</f>
        <v/>
      </c>
      <c r="B127" s="50"/>
      <c r="C127" s="63"/>
      <c r="D127" s="100"/>
      <c r="E127" s="178"/>
      <c r="F127" s="172" t="s">
        <v>223</v>
      </c>
      <c r="G127" s="51"/>
      <c r="H127" s="52"/>
      <c r="I127" s="53"/>
      <c r="J127" s="99"/>
      <c r="K127" s="153"/>
      <c r="L127" s="60"/>
      <c r="M127" s="58"/>
      <c r="N127" s="58"/>
      <c r="O127" s="61"/>
      <c r="P127" s="61"/>
      <c r="Q127" s="62"/>
      <c r="R127" s="155"/>
      <c r="S127" s="131"/>
      <c r="T127" s="130"/>
    </row>
    <row r="128" spans="1:20" s="7" customFormat="1" ht="31.2" x14ac:dyDescent="0.25">
      <c r="A128" s="152">
        <f>IF(J128&lt;&gt;"",1+MAX($A$18:A127),"")</f>
        <v>59</v>
      </c>
      <c r="B128" s="50"/>
      <c r="C128" s="50"/>
      <c r="D128" s="100" t="s">
        <v>35</v>
      </c>
      <c r="E128" s="178" t="s">
        <v>104</v>
      </c>
      <c r="F128" s="175" t="s">
        <v>757</v>
      </c>
      <c r="G128" s="51">
        <f>2232*3</f>
        <v>6696</v>
      </c>
      <c r="H128" s="52">
        <f>IF(VLOOKUP(J128,'HOURLY RATES'!B$116:C$124,2,0)=0,$J$3,VLOOKUP(J128,'HOURLY RATES'!B$116:C$124,2,0))</f>
        <v>0.05</v>
      </c>
      <c r="I128" s="53">
        <f t="shared" si="159"/>
        <v>7030.8</v>
      </c>
      <c r="J128" s="99" t="s">
        <v>224</v>
      </c>
      <c r="K128" s="153">
        <v>0.02</v>
      </c>
      <c r="L128" s="60">
        <f t="shared" ref="L128" si="165">K128*I128</f>
        <v>140.61600000000001</v>
      </c>
      <c r="M128" s="58">
        <f>IF(VLOOKUP(E128,'HOURLY RATES'!C$6:D$105,2,0)=0,$E$3,VLOOKUP(E128,'HOURLY RATES'!C$6:D$105,2,0))</f>
        <v>54</v>
      </c>
      <c r="N128" s="58">
        <f t="shared" ref="N128" si="166">M128*L128</f>
        <v>7593.264000000001</v>
      </c>
      <c r="O128" s="61">
        <v>0.4</v>
      </c>
      <c r="P128" s="61">
        <f t="shared" si="162"/>
        <v>2812.32</v>
      </c>
      <c r="Q128" s="62">
        <f t="shared" si="163"/>
        <v>10405.584000000001</v>
      </c>
      <c r="R128" s="155"/>
      <c r="S128" s="131">
        <f>((((N128*(1+$D$7))+(P128*(1+$D$5+$D$6)))*(1+$D$8)))/I128</f>
        <v>1.8309463199999996</v>
      </c>
      <c r="T128" s="130">
        <f t="shared" si="164"/>
        <v>12873.017386655998</v>
      </c>
    </row>
    <row r="129" spans="1:20" s="7" customFormat="1" ht="31.2" x14ac:dyDescent="0.25">
      <c r="A129" s="152">
        <f>IF(J129&lt;&gt;"",1+MAX($A$18:A128),"")</f>
        <v>60</v>
      </c>
      <c r="B129" s="50"/>
      <c r="C129" s="50"/>
      <c r="D129" s="100" t="s">
        <v>35</v>
      </c>
      <c r="E129" s="178" t="s">
        <v>104</v>
      </c>
      <c r="F129" s="175" t="s">
        <v>759</v>
      </c>
      <c r="G129" s="51">
        <f>240*3</f>
        <v>720</v>
      </c>
      <c r="H129" s="52">
        <f>IF(VLOOKUP(J129,'HOURLY RATES'!B$116:C$124,2,0)=0,$J$3,VLOOKUP(J129,'HOURLY RATES'!B$116:C$124,2,0))</f>
        <v>0.05</v>
      </c>
      <c r="I129" s="53">
        <f t="shared" ref="I129" si="167">(G129*(1+H129))</f>
        <v>756</v>
      </c>
      <c r="J129" s="99" t="s">
        <v>224</v>
      </c>
      <c r="K129" s="153">
        <v>0.02</v>
      </c>
      <c r="L129" s="60">
        <f t="shared" ref="L129" si="168">K129*I129</f>
        <v>15.120000000000001</v>
      </c>
      <c r="M129" s="58">
        <f>IF(VLOOKUP(E129,'HOURLY RATES'!C$6:D$105,2,0)=0,$E$3,VLOOKUP(E129,'HOURLY RATES'!C$6:D$105,2,0))</f>
        <v>54</v>
      </c>
      <c r="N129" s="58">
        <f t="shared" ref="N129" si="169">M129*L129</f>
        <v>816.48</v>
      </c>
      <c r="O129" s="61">
        <v>0.4</v>
      </c>
      <c r="P129" s="61">
        <f t="shared" ref="P129" si="170">O129*I129</f>
        <v>302.40000000000003</v>
      </c>
      <c r="Q129" s="62">
        <f t="shared" ref="Q129" si="171">P129+N129</f>
        <v>1118.8800000000001</v>
      </c>
      <c r="R129" s="155"/>
      <c r="S129" s="131">
        <f>((((N129*(1+$D$7))+(P129*(1+$D$5+$D$6)))*(1+$D$8)))/I129</f>
        <v>1.83094632</v>
      </c>
      <c r="T129" s="130">
        <f t="shared" ref="T129" si="172">S129*I129</f>
        <v>1384.19541792</v>
      </c>
    </row>
    <row r="130" spans="1:20" s="7" customFormat="1" x14ac:dyDescent="0.25">
      <c r="A130" s="152"/>
      <c r="B130" s="50"/>
      <c r="C130" s="63"/>
      <c r="D130" s="100"/>
      <c r="E130" s="178"/>
      <c r="F130" s="103"/>
      <c r="G130" s="51"/>
      <c r="H130" s="52"/>
      <c r="I130" s="53"/>
      <c r="J130" s="99"/>
      <c r="K130" s="153"/>
      <c r="L130" s="60"/>
      <c r="M130" s="58"/>
      <c r="N130" s="58"/>
      <c r="O130" s="61"/>
      <c r="P130" s="61"/>
      <c r="Q130" s="62"/>
      <c r="R130" s="155"/>
      <c r="S130" s="131"/>
      <c r="T130" s="130"/>
    </row>
    <row r="131" spans="1:20" s="7" customFormat="1" x14ac:dyDescent="0.25">
      <c r="A131" s="152" t="str">
        <f>IF(J131&lt;&gt;"",1+MAX($A$18:A128),"")</f>
        <v/>
      </c>
      <c r="B131" s="50"/>
      <c r="C131" s="63"/>
      <c r="D131" s="100"/>
      <c r="E131" s="178"/>
      <c r="F131" s="172" t="s">
        <v>723</v>
      </c>
      <c r="G131" s="51"/>
      <c r="H131" s="52"/>
      <c r="I131" s="53"/>
      <c r="J131" s="99"/>
      <c r="K131" s="153"/>
      <c r="L131" s="60"/>
      <c r="M131" s="58"/>
      <c r="N131" s="58"/>
      <c r="O131" s="61"/>
      <c r="P131" s="61"/>
      <c r="Q131" s="62"/>
      <c r="R131" s="155"/>
      <c r="S131" s="131"/>
      <c r="T131" s="130"/>
    </row>
    <row r="132" spans="1:20" s="7" customFormat="1" ht="31.2" x14ac:dyDescent="0.25">
      <c r="A132" s="152">
        <f>IF(J132&lt;&gt;"",1+MAX($A$18:A131),"")</f>
        <v>61</v>
      </c>
      <c r="B132" s="50"/>
      <c r="C132" s="50"/>
      <c r="D132" s="100" t="s">
        <v>35</v>
      </c>
      <c r="E132" s="178" t="s">
        <v>104</v>
      </c>
      <c r="F132" s="175" t="s">
        <v>804</v>
      </c>
      <c r="G132" s="51">
        <f>10*3</f>
        <v>30</v>
      </c>
      <c r="H132" s="52">
        <f>IF(VLOOKUP(J132,'HOURLY RATES'!B$116:C$124,2,0)=0,$J$3,VLOOKUP(J132,'HOURLY RATES'!B$116:C$124,2,0))</f>
        <v>0</v>
      </c>
      <c r="I132" s="53">
        <f t="shared" ref="I132:I134" si="173">(G132*(1+H132))</f>
        <v>30</v>
      </c>
      <c r="J132" s="99" t="s">
        <v>225</v>
      </c>
      <c r="K132" s="153">
        <v>1.23</v>
      </c>
      <c r="L132" s="60">
        <f t="shared" ref="L132" si="174">K132*I132</f>
        <v>36.9</v>
      </c>
      <c r="M132" s="58">
        <f>IF(VLOOKUP(E132,'HOURLY RATES'!C$6:D$105,2,0)=0,$E$3,VLOOKUP(E132,'HOURLY RATES'!C$6:D$105,2,0))</f>
        <v>54</v>
      </c>
      <c r="N132" s="58">
        <f t="shared" ref="N132" si="175">M132*L132</f>
        <v>1992.6</v>
      </c>
      <c r="O132" s="61">
        <v>28</v>
      </c>
      <c r="P132" s="61">
        <f t="shared" ref="P132:P134" si="176">O132*I132</f>
        <v>840</v>
      </c>
      <c r="Q132" s="62">
        <f t="shared" ref="Q132:Q134" si="177">P132+N132</f>
        <v>2832.6</v>
      </c>
      <c r="R132" s="155"/>
      <c r="S132" s="131">
        <f>((((N132*(1+$D$7))+(P132*(1+$D$5+$D$6)))*(1+$D$8)))/I132</f>
        <v>116.98500239999998</v>
      </c>
      <c r="T132" s="130">
        <f t="shared" ref="T132:T134" si="178">S132*I132</f>
        <v>3509.5500719999995</v>
      </c>
    </row>
    <row r="133" spans="1:20" s="7" customFormat="1" ht="31.2" x14ac:dyDescent="0.25">
      <c r="A133" s="152">
        <f>IF(J133&lt;&gt;"",1+MAX($A$18:A132),"")</f>
        <v>62</v>
      </c>
      <c r="B133" s="50"/>
      <c r="C133" s="50"/>
      <c r="D133" s="100" t="s">
        <v>35</v>
      </c>
      <c r="E133" s="178" t="s">
        <v>104</v>
      </c>
      <c r="F133" s="175" t="s">
        <v>805</v>
      </c>
      <c r="G133" s="51">
        <f>169*3</f>
        <v>507</v>
      </c>
      <c r="H133" s="52">
        <f>IF(VLOOKUP(J133,'HOURLY RATES'!B$116:C$124,2,0)=0,$J$3,VLOOKUP(J133,'HOURLY RATES'!B$116:C$124,2,0))</f>
        <v>0.05</v>
      </c>
      <c r="I133" s="53">
        <f t="shared" si="173"/>
        <v>532.35</v>
      </c>
      <c r="J133" s="99" t="s">
        <v>226</v>
      </c>
      <c r="K133" s="153">
        <v>1.7999999999999999E-2</v>
      </c>
      <c r="L133" s="60">
        <f t="shared" ref="L133:L134" si="179">K133*I133</f>
        <v>9.5823</v>
      </c>
      <c r="M133" s="58">
        <f>IF(VLOOKUP(E133,'HOURLY RATES'!C$6:D$105,2,0)=0,$E$3,VLOOKUP(E133,'HOURLY RATES'!C$6:D$105,2,0))</f>
        <v>54</v>
      </c>
      <c r="N133" s="58">
        <f t="shared" ref="N133:N134" si="180">M133*L133</f>
        <v>517.44420000000002</v>
      </c>
      <c r="O133" s="61">
        <v>0.8</v>
      </c>
      <c r="P133" s="61">
        <f t="shared" si="176"/>
        <v>425.88000000000005</v>
      </c>
      <c r="Q133" s="62">
        <f t="shared" si="177"/>
        <v>943.32420000000002</v>
      </c>
      <c r="R133" s="155"/>
      <c r="S133" s="131">
        <f>((((N133*(1+$D$7))+(P133*(1+$D$5+$D$6)))*(1+$D$8)))/I133</f>
        <v>2.21490864</v>
      </c>
      <c r="T133" s="130">
        <f t="shared" si="178"/>
        <v>1179.1066145039999</v>
      </c>
    </row>
    <row r="134" spans="1:20" s="7" customFormat="1" ht="31.2" x14ac:dyDescent="0.25">
      <c r="A134" s="152">
        <f>IF(J134&lt;&gt;"",1+MAX($A$18:A133),"")</f>
        <v>63</v>
      </c>
      <c r="B134" s="50"/>
      <c r="C134" s="50"/>
      <c r="D134" s="100" t="s">
        <v>35</v>
      </c>
      <c r="E134" s="178" t="s">
        <v>104</v>
      </c>
      <c r="F134" s="175" t="s">
        <v>806</v>
      </c>
      <c r="G134" s="51">
        <f>338*3</f>
        <v>1014</v>
      </c>
      <c r="H134" s="52">
        <f>IF(VLOOKUP(J134,'HOURLY RATES'!B$116:C$124,2,0)=0,$J$3,VLOOKUP(J134,'HOURLY RATES'!B$116:C$124,2,0))</f>
        <v>0.05</v>
      </c>
      <c r="I134" s="53">
        <f t="shared" si="173"/>
        <v>1064.7</v>
      </c>
      <c r="J134" s="99" t="s">
        <v>226</v>
      </c>
      <c r="K134" s="153">
        <v>1.7999999999999999E-2</v>
      </c>
      <c r="L134" s="60">
        <f t="shared" si="179"/>
        <v>19.1646</v>
      </c>
      <c r="M134" s="58">
        <f>IF(VLOOKUP(E134,'HOURLY RATES'!C$6:D$105,2,0)=0,$E$3,VLOOKUP(E134,'HOURLY RATES'!C$6:D$105,2,0))</f>
        <v>54</v>
      </c>
      <c r="N134" s="58">
        <f t="shared" si="180"/>
        <v>1034.8884</v>
      </c>
      <c r="O134" s="61">
        <v>0.8</v>
      </c>
      <c r="P134" s="61">
        <f t="shared" si="176"/>
        <v>851.7600000000001</v>
      </c>
      <c r="Q134" s="62">
        <f t="shared" si="177"/>
        <v>1886.6484</v>
      </c>
      <c r="R134" s="155"/>
      <c r="S134" s="131">
        <f>((((N134*(1+$D$7))+(P134*(1+$D$5+$D$6)))*(1+$D$8)))/I134</f>
        <v>2.21490864</v>
      </c>
      <c r="T134" s="130">
        <f t="shared" si="178"/>
        <v>2358.2132290079999</v>
      </c>
    </row>
    <row r="135" spans="1:20" s="7" customFormat="1" x14ac:dyDescent="0.25">
      <c r="A135" s="152"/>
      <c r="B135" s="50"/>
      <c r="C135" s="63"/>
      <c r="D135" s="100"/>
      <c r="E135" s="178"/>
      <c r="F135" s="103"/>
      <c r="G135" s="51"/>
      <c r="H135" s="52"/>
      <c r="I135" s="53"/>
      <c r="J135" s="99"/>
      <c r="K135" s="153"/>
      <c r="L135" s="60"/>
      <c r="M135" s="58"/>
      <c r="N135" s="58"/>
      <c r="O135" s="61"/>
      <c r="P135" s="61"/>
      <c r="Q135" s="62"/>
      <c r="R135" s="155"/>
      <c r="S135" s="131"/>
      <c r="T135" s="130"/>
    </row>
    <row r="136" spans="1:20" s="7" customFormat="1" x14ac:dyDescent="0.25">
      <c r="A136" s="152">
        <f>IF(J136&lt;&gt;"",1+MAX($A$18:A134),"")</f>
        <v>64</v>
      </c>
      <c r="B136" s="50"/>
      <c r="C136" s="63"/>
      <c r="D136" s="100"/>
      <c r="E136" s="178"/>
      <c r="F136" s="177" t="s">
        <v>752</v>
      </c>
      <c r="G136" s="108">
        <v>2</v>
      </c>
      <c r="H136" s="52"/>
      <c r="I136" s="53"/>
      <c r="J136" s="99" t="s">
        <v>225</v>
      </c>
      <c r="K136" s="153"/>
      <c r="L136" s="60"/>
      <c r="M136" s="58"/>
      <c r="N136" s="58"/>
      <c r="O136" s="61"/>
      <c r="P136" s="61"/>
      <c r="Q136" s="62"/>
      <c r="R136" s="155"/>
      <c r="S136" s="131"/>
      <c r="T136" s="130"/>
    </row>
    <row r="137" spans="1:20" s="7" customFormat="1" x14ac:dyDescent="0.25">
      <c r="A137" s="152" t="str">
        <f>IF(J137&lt;&gt;"",1+MAX($A$18:A136),"")</f>
        <v/>
      </c>
      <c r="B137" s="50"/>
      <c r="C137" s="63"/>
      <c r="D137" s="100"/>
      <c r="E137" s="178"/>
      <c r="F137" s="172" t="s">
        <v>722</v>
      </c>
      <c r="G137" s="51"/>
      <c r="H137" s="52"/>
      <c r="I137" s="53"/>
      <c r="J137" s="99"/>
      <c r="K137" s="153"/>
      <c r="L137" s="60"/>
      <c r="M137" s="58"/>
      <c r="N137" s="58"/>
      <c r="O137" s="61"/>
      <c r="P137" s="61"/>
      <c r="Q137" s="62"/>
      <c r="R137" s="155"/>
      <c r="S137" s="131"/>
      <c r="T137" s="130"/>
    </row>
    <row r="138" spans="1:20" s="7" customFormat="1" ht="31.2" x14ac:dyDescent="0.25">
      <c r="A138" s="152">
        <f>IF(J138&lt;&gt;"",1+MAX($A$18:A137),"")</f>
        <v>65</v>
      </c>
      <c r="B138" s="50"/>
      <c r="C138" s="50"/>
      <c r="D138" s="100" t="s">
        <v>35</v>
      </c>
      <c r="E138" s="178" t="s">
        <v>104</v>
      </c>
      <c r="F138" s="175" t="s">
        <v>758</v>
      </c>
      <c r="G138" s="51">
        <f>819*2</f>
        <v>1638</v>
      </c>
      <c r="H138" s="52">
        <f>IF(VLOOKUP(J138,'HOURLY RATES'!B$116:C$124,2,0)=0,$J$3,VLOOKUP(J138,'HOURLY RATES'!B$116:C$124,2,0))</f>
        <v>0.05</v>
      </c>
      <c r="I138" s="53">
        <f t="shared" ref="I138" si="181">(G138*(1+H138))</f>
        <v>1719.9</v>
      </c>
      <c r="J138" s="99" t="s">
        <v>224</v>
      </c>
      <c r="K138" s="153">
        <v>2.1999999999999999E-2</v>
      </c>
      <c r="L138" s="60">
        <f t="shared" ref="L138" si="182">K138*I138</f>
        <v>37.837800000000001</v>
      </c>
      <c r="M138" s="58">
        <f>IF(VLOOKUP(E138,'HOURLY RATES'!C$6:D$105,2,0)=0,$E$3,VLOOKUP(E138,'HOURLY RATES'!C$6:D$105,2,0))</f>
        <v>54</v>
      </c>
      <c r="N138" s="58">
        <f t="shared" ref="N138" si="183">M138*L138</f>
        <v>2043.2412000000002</v>
      </c>
      <c r="O138" s="61">
        <v>0.4</v>
      </c>
      <c r="P138" s="61">
        <f t="shared" ref="P138" si="184">O138*I138</f>
        <v>687.96</v>
      </c>
      <c r="Q138" s="62">
        <f t="shared" ref="Q138" si="185">P138+N138</f>
        <v>2731.2012000000004</v>
      </c>
      <c r="R138" s="155"/>
      <c r="S138" s="131">
        <f>((((N138*(1+$D$7))+(P138*(1+$D$5+$D$6)))*(1+$D$8)))/I138</f>
        <v>1.9624903199999995</v>
      </c>
      <c r="T138" s="130">
        <f t="shared" ref="T138" si="186">S138*I138</f>
        <v>3375.2871013679992</v>
      </c>
    </row>
    <row r="139" spans="1:20" s="7" customFormat="1" x14ac:dyDescent="0.25">
      <c r="A139" s="152"/>
      <c r="B139" s="50"/>
      <c r="C139" s="63"/>
      <c r="D139" s="100"/>
      <c r="E139" s="178"/>
      <c r="F139" s="103"/>
      <c r="G139" s="51"/>
      <c r="H139" s="52"/>
      <c r="I139" s="53"/>
      <c r="J139" s="99"/>
      <c r="K139" s="153"/>
      <c r="L139" s="60"/>
      <c r="M139" s="58"/>
      <c r="N139" s="58"/>
      <c r="O139" s="61"/>
      <c r="P139" s="61"/>
      <c r="Q139" s="62"/>
      <c r="R139" s="155"/>
      <c r="S139" s="131"/>
      <c r="T139" s="130"/>
    </row>
    <row r="140" spans="1:20" s="7" customFormat="1" x14ac:dyDescent="0.25">
      <c r="A140" s="152" t="str">
        <f>IF(J140&lt;&gt;"",1+MAX($A$18:A138),"")</f>
        <v/>
      </c>
      <c r="B140" s="50"/>
      <c r="C140" s="63"/>
      <c r="D140" s="100"/>
      <c r="E140" s="178"/>
      <c r="F140" s="172" t="s">
        <v>719</v>
      </c>
      <c r="G140" s="51"/>
      <c r="H140" s="52"/>
      <c r="I140" s="53"/>
      <c r="J140" s="99"/>
      <c r="K140" s="153"/>
      <c r="L140" s="60"/>
      <c r="M140" s="58"/>
      <c r="N140" s="58"/>
      <c r="O140" s="61"/>
      <c r="P140" s="61"/>
      <c r="Q140" s="62"/>
      <c r="R140" s="155"/>
      <c r="S140" s="131"/>
      <c r="T140" s="130"/>
    </row>
    <row r="141" spans="1:20" s="7" customFormat="1" ht="31.2" x14ac:dyDescent="0.25">
      <c r="A141" s="152">
        <f>IF(J141&lt;&gt;"",1+MAX($A$18:A140),"")</f>
        <v>66</v>
      </c>
      <c r="B141" s="50"/>
      <c r="C141" s="50"/>
      <c r="D141" s="100" t="s">
        <v>35</v>
      </c>
      <c r="E141" s="178" t="s">
        <v>104</v>
      </c>
      <c r="F141" s="175" t="s">
        <v>760</v>
      </c>
      <c r="G141" s="51">
        <f>220*2</f>
        <v>440</v>
      </c>
      <c r="H141" s="52">
        <f>IF(VLOOKUP(J141,'HOURLY RATES'!B$116:C$124,2,0)=0,$J$3,VLOOKUP(J141,'HOURLY RATES'!B$116:C$124,2,0))</f>
        <v>0.05</v>
      </c>
      <c r="I141" s="53">
        <f t="shared" ref="I141:I144" si="187">(G141*(1+H141))</f>
        <v>462</v>
      </c>
      <c r="J141" s="99" t="s">
        <v>226</v>
      </c>
      <c r="K141" s="153">
        <v>1.7999999999999999E-2</v>
      </c>
      <c r="L141" s="60">
        <f t="shared" ref="L141" si="188">K141*I141</f>
        <v>8.3159999999999989</v>
      </c>
      <c r="M141" s="58">
        <f>IF(VLOOKUP(E141,'HOURLY RATES'!C$6:D$105,2,0)=0,$E$3,VLOOKUP(E141,'HOURLY RATES'!C$6:D$105,2,0))</f>
        <v>54</v>
      </c>
      <c r="N141" s="58">
        <f t="shared" ref="N141" si="189">M141*L141</f>
        <v>449.06399999999996</v>
      </c>
      <c r="O141" s="61">
        <v>0.8</v>
      </c>
      <c r="P141" s="61">
        <f t="shared" ref="P141:P144" si="190">O141*I141</f>
        <v>369.6</v>
      </c>
      <c r="Q141" s="62">
        <f t="shared" ref="Q141:Q144" si="191">P141+N141</f>
        <v>818.66399999999999</v>
      </c>
      <c r="R141" s="155"/>
      <c r="S141" s="131">
        <f>((((N141*(1+$D$7))+(P141*(1+$D$5+$D$6)))*(1+$D$8)))/I141</f>
        <v>2.2149086399999995</v>
      </c>
      <c r="T141" s="130">
        <f t="shared" ref="T141:T144" si="192">S141*I141</f>
        <v>1023.2877916799998</v>
      </c>
    </row>
    <row r="142" spans="1:20" s="7" customFormat="1" x14ac:dyDescent="0.25">
      <c r="A142" s="152"/>
      <c r="B142" s="50"/>
      <c r="C142" s="63"/>
      <c r="D142" s="100"/>
      <c r="E142" s="178"/>
      <c r="F142" s="103"/>
      <c r="G142" s="51"/>
      <c r="H142" s="52"/>
      <c r="I142" s="53"/>
      <c r="J142" s="99"/>
      <c r="K142" s="153"/>
      <c r="L142" s="60"/>
      <c r="M142" s="58"/>
      <c r="N142" s="58"/>
      <c r="O142" s="61"/>
      <c r="P142" s="61"/>
      <c r="Q142" s="62"/>
      <c r="R142" s="155"/>
      <c r="S142" s="131"/>
      <c r="T142" s="130"/>
    </row>
    <row r="143" spans="1:20" s="7" customFormat="1" x14ac:dyDescent="0.25">
      <c r="A143" s="152" t="str">
        <f>IF(J143&lt;&gt;"",1+MAX($A$18:A141),"")</f>
        <v/>
      </c>
      <c r="B143" s="50"/>
      <c r="C143" s="63"/>
      <c r="D143" s="100"/>
      <c r="E143" s="178"/>
      <c r="F143" s="172" t="s">
        <v>223</v>
      </c>
      <c r="G143" s="51"/>
      <c r="H143" s="52"/>
      <c r="I143" s="53"/>
      <c r="J143" s="99"/>
      <c r="K143" s="153"/>
      <c r="L143" s="60"/>
      <c r="M143" s="58"/>
      <c r="N143" s="58"/>
      <c r="O143" s="61"/>
      <c r="P143" s="61"/>
      <c r="Q143" s="62"/>
      <c r="R143" s="155"/>
      <c r="S143" s="131"/>
      <c r="T143" s="130"/>
    </row>
    <row r="144" spans="1:20" s="7" customFormat="1" ht="31.2" x14ac:dyDescent="0.25">
      <c r="A144" s="152">
        <f>IF(J144&lt;&gt;"",1+MAX($A$18:A143),"")</f>
        <v>67</v>
      </c>
      <c r="B144" s="50"/>
      <c r="C144" s="50"/>
      <c r="D144" s="100" t="s">
        <v>35</v>
      </c>
      <c r="E144" s="178" t="s">
        <v>104</v>
      </c>
      <c r="F144" s="175" t="s">
        <v>757</v>
      </c>
      <c r="G144" s="51">
        <f>1626*2</f>
        <v>3252</v>
      </c>
      <c r="H144" s="52">
        <f>IF(VLOOKUP(J144,'HOURLY RATES'!B$116:C$124,2,0)=0,$J$3,VLOOKUP(J144,'HOURLY RATES'!B$116:C$124,2,0))</f>
        <v>0.05</v>
      </c>
      <c r="I144" s="53">
        <f t="shared" si="187"/>
        <v>3414.6000000000004</v>
      </c>
      <c r="J144" s="99" t="s">
        <v>224</v>
      </c>
      <c r="K144" s="153">
        <v>0.02</v>
      </c>
      <c r="L144" s="60">
        <f t="shared" ref="L144" si="193">K144*I144</f>
        <v>68.292000000000002</v>
      </c>
      <c r="M144" s="58">
        <f>IF(VLOOKUP(E144,'HOURLY RATES'!C$6:D$105,2,0)=0,$E$3,VLOOKUP(E144,'HOURLY RATES'!C$6:D$105,2,0))</f>
        <v>54</v>
      </c>
      <c r="N144" s="58">
        <f t="shared" ref="N144" si="194">M144*L144</f>
        <v>3687.768</v>
      </c>
      <c r="O144" s="61">
        <v>0.4</v>
      </c>
      <c r="P144" s="61">
        <f t="shared" si="190"/>
        <v>1365.8400000000001</v>
      </c>
      <c r="Q144" s="62">
        <f t="shared" si="191"/>
        <v>5053.6080000000002</v>
      </c>
      <c r="R144" s="155"/>
      <c r="S144" s="131">
        <f>((((N144*(1+$D$7))+(P144*(1+$D$5+$D$6)))*(1+$D$8)))/I144</f>
        <v>1.8309463199999998</v>
      </c>
      <c r="T144" s="130">
        <f t="shared" si="192"/>
        <v>6251.9493042719996</v>
      </c>
    </row>
    <row r="145" spans="1:20" s="7" customFormat="1" ht="31.2" x14ac:dyDescent="0.25">
      <c r="A145" s="152">
        <f>IF(J145&lt;&gt;"",1+MAX($A$18:A144),"")</f>
        <v>68</v>
      </c>
      <c r="B145" s="50"/>
      <c r="C145" s="50"/>
      <c r="D145" s="100" t="s">
        <v>35</v>
      </c>
      <c r="E145" s="178" t="s">
        <v>104</v>
      </c>
      <c r="F145" s="175" t="s">
        <v>759</v>
      </c>
      <c r="G145" s="51">
        <f>238*2</f>
        <v>476</v>
      </c>
      <c r="H145" s="52">
        <f>IF(VLOOKUP(J145,'HOURLY RATES'!B$116:C$124,2,0)=0,$J$3,VLOOKUP(J145,'HOURLY RATES'!B$116:C$124,2,0))</f>
        <v>0.05</v>
      </c>
      <c r="I145" s="53">
        <f t="shared" ref="I145" si="195">(G145*(1+H145))</f>
        <v>499.8</v>
      </c>
      <c r="J145" s="99" t="s">
        <v>224</v>
      </c>
      <c r="K145" s="153">
        <v>0.02</v>
      </c>
      <c r="L145" s="60">
        <f t="shared" ref="L145" si="196">K145*I145</f>
        <v>9.9960000000000004</v>
      </c>
      <c r="M145" s="58">
        <f>IF(VLOOKUP(E145,'HOURLY RATES'!C$6:D$105,2,0)=0,$E$3,VLOOKUP(E145,'HOURLY RATES'!C$6:D$105,2,0))</f>
        <v>54</v>
      </c>
      <c r="N145" s="58">
        <f t="shared" ref="N145" si="197">M145*L145</f>
        <v>539.78399999999999</v>
      </c>
      <c r="O145" s="61">
        <v>0.4</v>
      </c>
      <c r="P145" s="61">
        <f t="shared" ref="P145" si="198">O145*I145</f>
        <v>199.92000000000002</v>
      </c>
      <c r="Q145" s="62">
        <f t="shared" ref="Q145" si="199">P145+N145</f>
        <v>739.70399999999995</v>
      </c>
      <c r="R145" s="155"/>
      <c r="S145" s="131">
        <f>((((N145*(1+$D$7))+(P145*(1+$D$5+$D$6)))*(1+$D$8)))/I145</f>
        <v>1.8309463199999998</v>
      </c>
      <c r="T145" s="130">
        <f t="shared" ref="T145" si="200">S145*I145</f>
        <v>915.10697073599988</v>
      </c>
    </row>
    <row r="146" spans="1:20" s="7" customFormat="1" x14ac:dyDescent="0.25">
      <c r="A146" s="152"/>
      <c r="B146" s="50"/>
      <c r="C146" s="63"/>
      <c r="D146" s="100"/>
      <c r="E146" s="178"/>
      <c r="F146" s="103"/>
      <c r="G146" s="51"/>
      <c r="H146" s="52"/>
      <c r="I146" s="53"/>
      <c r="J146" s="99"/>
      <c r="K146" s="153"/>
      <c r="L146" s="60"/>
      <c r="M146" s="58"/>
      <c r="N146" s="58"/>
      <c r="O146" s="61"/>
      <c r="P146" s="61"/>
      <c r="Q146" s="62"/>
      <c r="R146" s="155"/>
      <c r="S146" s="131"/>
      <c r="T146" s="130"/>
    </row>
    <row r="147" spans="1:20" s="7" customFormat="1" x14ac:dyDescent="0.25">
      <c r="A147" s="152" t="str">
        <f>IF(J147&lt;&gt;"",1+MAX($A$18:A144),"")</f>
        <v/>
      </c>
      <c r="B147" s="50"/>
      <c r="C147" s="63"/>
      <c r="D147" s="100"/>
      <c r="E147" s="178"/>
      <c r="F147" s="172" t="s">
        <v>723</v>
      </c>
      <c r="G147" s="51"/>
      <c r="H147" s="52"/>
      <c r="I147" s="53"/>
      <c r="J147" s="99"/>
      <c r="K147" s="153"/>
      <c r="L147" s="60"/>
      <c r="M147" s="58"/>
      <c r="N147" s="58"/>
      <c r="O147" s="61"/>
      <c r="P147" s="61"/>
      <c r="Q147" s="62"/>
      <c r="R147" s="155"/>
      <c r="S147" s="131"/>
      <c r="T147" s="130"/>
    </row>
    <row r="148" spans="1:20" s="7" customFormat="1" ht="31.2" x14ac:dyDescent="0.25">
      <c r="A148" s="152">
        <f>IF(J148&lt;&gt;"",1+MAX($A$18:A147),"")</f>
        <v>69</v>
      </c>
      <c r="B148" s="50"/>
      <c r="C148" s="50"/>
      <c r="D148" s="100" t="s">
        <v>35</v>
      </c>
      <c r="E148" s="178" t="s">
        <v>104</v>
      </c>
      <c r="F148" s="175" t="s">
        <v>804</v>
      </c>
      <c r="G148" s="51">
        <v>18</v>
      </c>
      <c r="H148" s="52">
        <f>IF(VLOOKUP(J148,'HOURLY RATES'!B$116:C$124,2,0)=0,$J$3,VLOOKUP(J148,'HOURLY RATES'!B$116:C$124,2,0))</f>
        <v>0</v>
      </c>
      <c r="I148" s="53">
        <f t="shared" ref="I148:I150" si="201">(G148*(1+H148))</f>
        <v>18</v>
      </c>
      <c r="J148" s="99" t="s">
        <v>225</v>
      </c>
      <c r="K148" s="153">
        <v>1.23</v>
      </c>
      <c r="L148" s="60">
        <f t="shared" ref="L148" si="202">K148*I148</f>
        <v>22.14</v>
      </c>
      <c r="M148" s="58">
        <f>IF(VLOOKUP(E148,'HOURLY RATES'!C$6:D$105,2,0)=0,$E$3,VLOOKUP(E148,'HOURLY RATES'!C$6:D$105,2,0))</f>
        <v>54</v>
      </c>
      <c r="N148" s="58">
        <f t="shared" ref="N148" si="203">M148*L148</f>
        <v>1195.56</v>
      </c>
      <c r="O148" s="61">
        <v>28</v>
      </c>
      <c r="P148" s="61">
        <f t="shared" ref="P148:P150" si="204">O148*I148</f>
        <v>504</v>
      </c>
      <c r="Q148" s="62">
        <f t="shared" ref="Q148:Q150" si="205">P148+N148</f>
        <v>1699.56</v>
      </c>
      <c r="R148" s="155"/>
      <c r="S148" s="131">
        <f>((((N148*(1+$D$7))+(P148*(1+$D$5+$D$6)))*(1+$D$8)))/I148</f>
        <v>116.98500239999998</v>
      </c>
      <c r="T148" s="130">
        <f t="shared" ref="T148:T150" si="206">S148*I148</f>
        <v>2105.7300431999997</v>
      </c>
    </row>
    <row r="149" spans="1:20" s="7" customFormat="1" ht="31.2" x14ac:dyDescent="0.25">
      <c r="A149" s="152">
        <f>IF(J149&lt;&gt;"",1+MAX($A$18:A148),"")</f>
        <v>70</v>
      </c>
      <c r="B149" s="50"/>
      <c r="C149" s="50"/>
      <c r="D149" s="100" t="s">
        <v>35</v>
      </c>
      <c r="E149" s="178" t="s">
        <v>104</v>
      </c>
      <c r="F149" s="175" t="s">
        <v>805</v>
      </c>
      <c r="G149" s="51">
        <f>153*2</f>
        <v>306</v>
      </c>
      <c r="H149" s="52">
        <f>IF(VLOOKUP(J149,'HOURLY RATES'!B$116:C$124,2,0)=0,$J$3,VLOOKUP(J149,'HOURLY RATES'!B$116:C$124,2,0))</f>
        <v>0.05</v>
      </c>
      <c r="I149" s="53">
        <f t="shared" si="201"/>
        <v>321.3</v>
      </c>
      <c r="J149" s="99" t="s">
        <v>226</v>
      </c>
      <c r="K149" s="153">
        <v>1.7999999999999999E-2</v>
      </c>
      <c r="L149" s="60">
        <f t="shared" ref="L149:L150" si="207">K149*I149</f>
        <v>5.7833999999999994</v>
      </c>
      <c r="M149" s="58">
        <f>IF(VLOOKUP(E149,'HOURLY RATES'!C$6:D$105,2,0)=0,$E$3,VLOOKUP(E149,'HOURLY RATES'!C$6:D$105,2,0))</f>
        <v>54</v>
      </c>
      <c r="N149" s="58">
        <f t="shared" ref="N149:N150" si="208">M149*L149</f>
        <v>312.30359999999996</v>
      </c>
      <c r="O149" s="61">
        <v>0.8</v>
      </c>
      <c r="P149" s="61">
        <f t="shared" si="204"/>
        <v>257.04000000000002</v>
      </c>
      <c r="Q149" s="62">
        <f t="shared" si="205"/>
        <v>569.34359999999992</v>
      </c>
      <c r="R149" s="155"/>
      <c r="S149" s="131">
        <f>((((N149*(1+$D$7))+(P149*(1+$D$5+$D$6)))*(1+$D$8)))/I149</f>
        <v>2.2149086399999995</v>
      </c>
      <c r="T149" s="130">
        <f t="shared" si="206"/>
        <v>711.65014603199984</v>
      </c>
    </row>
    <row r="150" spans="1:20" s="7" customFormat="1" ht="31.2" x14ac:dyDescent="0.25">
      <c r="A150" s="152">
        <f>IF(J150&lt;&gt;"",1+MAX($A$18:A149),"")</f>
        <v>71</v>
      </c>
      <c r="B150" s="50"/>
      <c r="C150" s="50"/>
      <c r="D150" s="100" t="s">
        <v>35</v>
      </c>
      <c r="E150" s="178" t="s">
        <v>104</v>
      </c>
      <c r="F150" s="175" t="s">
        <v>806</v>
      </c>
      <c r="G150" s="51">
        <f>306*2</f>
        <v>612</v>
      </c>
      <c r="H150" s="52">
        <f>IF(VLOOKUP(J150,'HOURLY RATES'!B$116:C$124,2,0)=0,$J$3,VLOOKUP(J150,'HOURLY RATES'!B$116:C$124,2,0))</f>
        <v>0.05</v>
      </c>
      <c r="I150" s="53">
        <f t="shared" si="201"/>
        <v>642.6</v>
      </c>
      <c r="J150" s="99" t="s">
        <v>226</v>
      </c>
      <c r="K150" s="153">
        <v>1.7999999999999999E-2</v>
      </c>
      <c r="L150" s="60">
        <f t="shared" si="207"/>
        <v>11.566799999999999</v>
      </c>
      <c r="M150" s="58">
        <f>IF(VLOOKUP(E150,'HOURLY RATES'!C$6:D$105,2,0)=0,$E$3,VLOOKUP(E150,'HOURLY RATES'!C$6:D$105,2,0))</f>
        <v>54</v>
      </c>
      <c r="N150" s="58">
        <f t="shared" si="208"/>
        <v>624.60719999999992</v>
      </c>
      <c r="O150" s="61">
        <v>0.8</v>
      </c>
      <c r="P150" s="61">
        <f t="shared" si="204"/>
        <v>514.08000000000004</v>
      </c>
      <c r="Q150" s="62">
        <f t="shared" si="205"/>
        <v>1138.6871999999998</v>
      </c>
      <c r="R150" s="155"/>
      <c r="S150" s="131">
        <f>((((N150*(1+$D$7))+(P150*(1+$D$5+$D$6)))*(1+$D$8)))/I150</f>
        <v>2.2149086399999995</v>
      </c>
      <c r="T150" s="130">
        <f t="shared" si="206"/>
        <v>1423.3002920639997</v>
      </c>
    </row>
    <row r="151" spans="1:20" s="7" customFormat="1" x14ac:dyDescent="0.25">
      <c r="A151" s="152"/>
      <c r="B151" s="50"/>
      <c r="C151" s="63"/>
      <c r="D151" s="100"/>
      <c r="E151" s="178"/>
      <c r="F151" s="103"/>
      <c r="G151" s="51"/>
      <c r="H151" s="52"/>
      <c r="I151" s="53"/>
      <c r="J151" s="99"/>
      <c r="K151" s="153"/>
      <c r="L151" s="60"/>
      <c r="M151" s="58"/>
      <c r="N151" s="58"/>
      <c r="O151" s="61"/>
      <c r="P151" s="61"/>
      <c r="Q151" s="62"/>
      <c r="R151" s="155"/>
      <c r="S151" s="131"/>
      <c r="T151" s="130"/>
    </row>
    <row r="152" spans="1:20" s="7" customFormat="1" x14ac:dyDescent="0.25">
      <c r="A152" s="152">
        <f>IF(J152&lt;&gt;"",1+MAX($A$18:A150),"")</f>
        <v>72</v>
      </c>
      <c r="B152" s="50"/>
      <c r="C152" s="63"/>
      <c r="D152" s="100"/>
      <c r="E152" s="178"/>
      <c r="F152" s="177" t="s">
        <v>753</v>
      </c>
      <c r="G152" s="108">
        <v>16</v>
      </c>
      <c r="H152" s="52"/>
      <c r="I152" s="53"/>
      <c r="J152" s="99" t="s">
        <v>225</v>
      </c>
      <c r="K152" s="153"/>
      <c r="L152" s="60"/>
      <c r="M152" s="58"/>
      <c r="N152" s="58"/>
      <c r="O152" s="61"/>
      <c r="P152" s="61"/>
      <c r="Q152" s="62"/>
      <c r="R152" s="155"/>
      <c r="S152" s="131"/>
      <c r="T152" s="130"/>
    </row>
    <row r="153" spans="1:20" s="7" customFormat="1" x14ac:dyDescent="0.25">
      <c r="A153" s="152" t="str">
        <f>IF(J153&lt;&gt;"",1+MAX($A$18:A152),"")</f>
        <v/>
      </c>
      <c r="B153" s="50"/>
      <c r="C153" s="63"/>
      <c r="D153" s="100"/>
      <c r="E153" s="178"/>
      <c r="F153" s="172" t="s">
        <v>722</v>
      </c>
      <c r="G153" s="51"/>
      <c r="H153" s="52"/>
      <c r="I153" s="53"/>
      <c r="J153" s="99"/>
      <c r="K153" s="153"/>
      <c r="L153" s="60"/>
      <c r="M153" s="58"/>
      <c r="N153" s="58"/>
      <c r="O153" s="61"/>
      <c r="P153" s="61"/>
      <c r="Q153" s="62"/>
      <c r="R153" s="155"/>
      <c r="S153" s="131"/>
      <c r="T153" s="130"/>
    </row>
    <row r="154" spans="1:20" s="7" customFormat="1" ht="31.2" x14ac:dyDescent="0.25">
      <c r="A154" s="152">
        <f>IF(J154&lt;&gt;"",1+MAX($A$18:A153),"")</f>
        <v>73</v>
      </c>
      <c r="B154" s="50"/>
      <c r="C154" s="50"/>
      <c r="D154" s="100" t="s">
        <v>35</v>
      </c>
      <c r="E154" s="178" t="s">
        <v>104</v>
      </c>
      <c r="F154" s="175" t="s">
        <v>758</v>
      </c>
      <c r="G154" s="51">
        <f>2173*16</f>
        <v>34768</v>
      </c>
      <c r="H154" s="52">
        <f>IF(VLOOKUP(J154,'HOURLY RATES'!B$116:C$124,2,0)=0,$J$3,VLOOKUP(J154,'HOURLY RATES'!B$116:C$124,2,0))</f>
        <v>0.05</v>
      </c>
      <c r="I154" s="53">
        <f t="shared" ref="I154" si="209">(G154*(1+H154))</f>
        <v>36506.400000000001</v>
      </c>
      <c r="J154" s="99" t="s">
        <v>224</v>
      </c>
      <c r="K154" s="153">
        <v>2.1999999999999999E-2</v>
      </c>
      <c r="L154" s="60">
        <f t="shared" ref="L154" si="210">K154*I154</f>
        <v>803.14080000000001</v>
      </c>
      <c r="M154" s="58">
        <f>IF(VLOOKUP(E154,'HOURLY RATES'!C$6:D$105,2,0)=0,$E$3,VLOOKUP(E154,'HOURLY RATES'!C$6:D$105,2,0))</f>
        <v>54</v>
      </c>
      <c r="N154" s="58">
        <f t="shared" ref="N154" si="211">M154*L154</f>
        <v>43369.603199999998</v>
      </c>
      <c r="O154" s="61">
        <v>0.4</v>
      </c>
      <c r="P154" s="61">
        <f t="shared" ref="P154" si="212">O154*I154</f>
        <v>14602.560000000001</v>
      </c>
      <c r="Q154" s="62">
        <f t="shared" ref="Q154" si="213">P154+N154</f>
        <v>57972.163199999995</v>
      </c>
      <c r="R154" s="155"/>
      <c r="S154" s="131">
        <f>((((N154*(1+$D$7))+(P154*(1+$D$5+$D$6)))*(1+$D$8)))/I154</f>
        <v>1.9624903200000001</v>
      </c>
      <c r="T154" s="130">
        <f t="shared" ref="T154" si="214">S154*I154</f>
        <v>71643.456618048003</v>
      </c>
    </row>
    <row r="155" spans="1:20" s="7" customFormat="1" x14ac:dyDescent="0.25">
      <c r="A155" s="152"/>
      <c r="B155" s="50"/>
      <c r="C155" s="63"/>
      <c r="D155" s="100"/>
      <c r="E155" s="178"/>
      <c r="F155" s="103"/>
      <c r="G155" s="51"/>
      <c r="H155" s="52"/>
      <c r="I155" s="53"/>
      <c r="J155" s="99"/>
      <c r="K155" s="153"/>
      <c r="L155" s="60"/>
      <c r="M155" s="58"/>
      <c r="N155" s="58"/>
      <c r="O155" s="61"/>
      <c r="P155" s="61"/>
      <c r="Q155" s="62"/>
      <c r="R155" s="155"/>
      <c r="S155" s="131"/>
      <c r="T155" s="130"/>
    </row>
    <row r="156" spans="1:20" s="7" customFormat="1" x14ac:dyDescent="0.25">
      <c r="A156" s="152" t="str">
        <f>IF(J156&lt;&gt;"",1+MAX($A$18:A154),"")</f>
        <v/>
      </c>
      <c r="B156" s="50"/>
      <c r="C156" s="63"/>
      <c r="D156" s="100"/>
      <c r="E156" s="178"/>
      <c r="F156" s="172" t="s">
        <v>719</v>
      </c>
      <c r="G156" s="51"/>
      <c r="H156" s="52"/>
      <c r="I156" s="53"/>
      <c r="J156" s="99"/>
      <c r="K156" s="153"/>
      <c r="L156" s="60"/>
      <c r="M156" s="58"/>
      <c r="N156" s="58"/>
      <c r="O156" s="61"/>
      <c r="P156" s="61"/>
      <c r="Q156" s="62"/>
      <c r="R156" s="155"/>
      <c r="S156" s="131"/>
      <c r="T156" s="130"/>
    </row>
    <row r="157" spans="1:20" s="7" customFormat="1" ht="31.2" x14ac:dyDescent="0.25">
      <c r="A157" s="152">
        <f>IF(J157&lt;&gt;"",1+MAX($A$18:A156),"")</f>
        <v>74</v>
      </c>
      <c r="B157" s="50"/>
      <c r="C157" s="50"/>
      <c r="D157" s="100" t="s">
        <v>35</v>
      </c>
      <c r="E157" s="178" t="s">
        <v>104</v>
      </c>
      <c r="F157" s="175" t="s">
        <v>760</v>
      </c>
      <c r="G157" s="51">
        <f>550*16</f>
        <v>8800</v>
      </c>
      <c r="H157" s="52">
        <f>IF(VLOOKUP(J157,'HOURLY RATES'!B$116:C$124,2,0)=0,$J$3,VLOOKUP(J157,'HOURLY RATES'!B$116:C$124,2,0))</f>
        <v>0.05</v>
      </c>
      <c r="I157" s="53">
        <f t="shared" ref="I157:I160" si="215">(G157*(1+H157))</f>
        <v>9240</v>
      </c>
      <c r="J157" s="99" t="s">
        <v>226</v>
      </c>
      <c r="K157" s="153">
        <v>1.7999999999999999E-2</v>
      </c>
      <c r="L157" s="60">
        <f t="shared" ref="L157" si="216">K157*I157</f>
        <v>166.32</v>
      </c>
      <c r="M157" s="58">
        <f>IF(VLOOKUP(E157,'HOURLY RATES'!C$6:D$105,2,0)=0,$E$3,VLOOKUP(E157,'HOURLY RATES'!C$6:D$105,2,0))</f>
        <v>54</v>
      </c>
      <c r="N157" s="58">
        <f t="shared" ref="N157" si="217">M157*L157</f>
        <v>8981.2799999999988</v>
      </c>
      <c r="O157" s="61">
        <v>0.8</v>
      </c>
      <c r="P157" s="61">
        <f t="shared" ref="P157:P160" si="218">O157*I157</f>
        <v>7392</v>
      </c>
      <c r="Q157" s="62">
        <f t="shared" ref="Q157:Q160" si="219">P157+N157</f>
        <v>16373.279999999999</v>
      </c>
      <c r="R157" s="155"/>
      <c r="S157" s="131">
        <f>((((N157*(1+$D$7))+(P157*(1+$D$5+$D$6)))*(1+$D$8)))/I157</f>
        <v>2.2149086399999995</v>
      </c>
      <c r="T157" s="130">
        <f t="shared" ref="T157:T160" si="220">S157*I157</f>
        <v>20465.755833599997</v>
      </c>
    </row>
    <row r="158" spans="1:20" s="7" customFormat="1" x14ac:dyDescent="0.25">
      <c r="A158" s="152"/>
      <c r="B158" s="50"/>
      <c r="C158" s="63"/>
      <c r="D158" s="100"/>
      <c r="E158" s="178"/>
      <c r="F158" s="103"/>
      <c r="G158" s="51"/>
      <c r="H158" s="52"/>
      <c r="I158" s="53"/>
      <c r="J158" s="99"/>
      <c r="K158" s="153"/>
      <c r="L158" s="60"/>
      <c r="M158" s="58"/>
      <c r="N158" s="58"/>
      <c r="O158" s="61"/>
      <c r="P158" s="61"/>
      <c r="Q158" s="62"/>
      <c r="R158" s="155"/>
      <c r="S158" s="131"/>
      <c r="T158" s="130"/>
    </row>
    <row r="159" spans="1:20" s="7" customFormat="1" x14ac:dyDescent="0.25">
      <c r="A159" s="152" t="str">
        <f>IF(J159&lt;&gt;"",1+MAX($A$18:A157),"")</f>
        <v/>
      </c>
      <c r="B159" s="50"/>
      <c r="C159" s="63"/>
      <c r="D159" s="100"/>
      <c r="E159" s="178"/>
      <c r="F159" s="172" t="s">
        <v>223</v>
      </c>
      <c r="G159" s="51"/>
      <c r="H159" s="52"/>
      <c r="I159" s="53"/>
      <c r="J159" s="99"/>
      <c r="K159" s="153"/>
      <c r="L159" s="60"/>
      <c r="M159" s="58"/>
      <c r="N159" s="58"/>
      <c r="O159" s="61"/>
      <c r="P159" s="61"/>
      <c r="Q159" s="62"/>
      <c r="R159" s="155"/>
      <c r="S159" s="131"/>
      <c r="T159" s="130"/>
    </row>
    <row r="160" spans="1:20" s="7" customFormat="1" ht="31.2" x14ac:dyDescent="0.25">
      <c r="A160" s="152">
        <f>IF(J160&lt;&gt;"",1+MAX($A$18:A159),"")</f>
        <v>75</v>
      </c>
      <c r="B160" s="50"/>
      <c r="C160" s="50"/>
      <c r="D160" s="100" t="s">
        <v>35</v>
      </c>
      <c r="E160" s="178" t="s">
        <v>104</v>
      </c>
      <c r="F160" s="175" t="s">
        <v>757</v>
      </c>
      <c r="G160" s="51">
        <f>4741*16</f>
        <v>75856</v>
      </c>
      <c r="H160" s="52">
        <f>IF(VLOOKUP(J160,'HOURLY RATES'!B$116:C$124,2,0)=0,$J$3,VLOOKUP(J160,'HOURLY RATES'!B$116:C$124,2,0))</f>
        <v>0.05</v>
      </c>
      <c r="I160" s="53">
        <f t="shared" si="215"/>
        <v>79648.800000000003</v>
      </c>
      <c r="J160" s="99" t="s">
        <v>224</v>
      </c>
      <c r="K160" s="153">
        <v>0.02</v>
      </c>
      <c r="L160" s="60">
        <f t="shared" ref="L160" si="221">K160*I160</f>
        <v>1592.9760000000001</v>
      </c>
      <c r="M160" s="58">
        <f>IF(VLOOKUP(E160,'HOURLY RATES'!C$6:D$105,2,0)=0,$E$3,VLOOKUP(E160,'HOURLY RATES'!C$6:D$105,2,0))</f>
        <v>54</v>
      </c>
      <c r="N160" s="58">
        <f t="shared" ref="N160" si="222">M160*L160</f>
        <v>86020.704000000012</v>
      </c>
      <c r="O160" s="61">
        <v>0.4</v>
      </c>
      <c r="P160" s="61">
        <f t="shared" si="218"/>
        <v>31859.520000000004</v>
      </c>
      <c r="Q160" s="62">
        <f t="shared" si="219"/>
        <v>117880.22400000002</v>
      </c>
      <c r="R160" s="155"/>
      <c r="S160" s="131">
        <f>((((N160*(1+$D$7))+(P160*(1+$D$5+$D$6)))*(1+$D$8)))/I160</f>
        <v>1.83094632</v>
      </c>
      <c r="T160" s="130">
        <f t="shared" si="220"/>
        <v>145832.677252416</v>
      </c>
    </row>
    <row r="161" spans="1:20" s="7" customFormat="1" ht="31.2" x14ac:dyDescent="0.25">
      <c r="A161" s="152">
        <f>IF(J161&lt;&gt;"",1+MAX($A$18:A160),"")</f>
        <v>76</v>
      </c>
      <c r="B161" s="50"/>
      <c r="C161" s="50"/>
      <c r="D161" s="100" t="s">
        <v>35</v>
      </c>
      <c r="E161" s="178" t="s">
        <v>104</v>
      </c>
      <c r="F161" s="175" t="s">
        <v>759</v>
      </c>
      <c r="G161" s="51">
        <f>800*16</f>
        <v>12800</v>
      </c>
      <c r="H161" s="52">
        <f>IF(VLOOKUP(J161,'HOURLY RATES'!B$116:C$124,2,0)=0,$J$3,VLOOKUP(J161,'HOURLY RATES'!B$116:C$124,2,0))</f>
        <v>0.05</v>
      </c>
      <c r="I161" s="53">
        <f t="shared" ref="I161" si="223">(G161*(1+H161))</f>
        <v>13440</v>
      </c>
      <c r="J161" s="99" t="s">
        <v>224</v>
      </c>
      <c r="K161" s="153">
        <v>0.02</v>
      </c>
      <c r="L161" s="60">
        <f t="shared" ref="L161" si="224">K161*I161</f>
        <v>268.8</v>
      </c>
      <c r="M161" s="58">
        <f>IF(VLOOKUP(E161,'HOURLY RATES'!C$6:D$105,2,0)=0,$E$3,VLOOKUP(E161,'HOURLY RATES'!C$6:D$105,2,0))</f>
        <v>54</v>
      </c>
      <c r="N161" s="58">
        <f t="shared" ref="N161" si="225">M161*L161</f>
        <v>14515.2</v>
      </c>
      <c r="O161" s="61">
        <v>0.4</v>
      </c>
      <c r="P161" s="61">
        <f t="shared" ref="P161" si="226">O161*I161</f>
        <v>5376</v>
      </c>
      <c r="Q161" s="62">
        <f t="shared" ref="Q161" si="227">P161+N161</f>
        <v>19891.2</v>
      </c>
      <c r="R161" s="155"/>
      <c r="S161" s="131">
        <f>((((N161*(1+$D$7))+(P161*(1+$D$5+$D$6)))*(1+$D$8)))/I161</f>
        <v>1.8309463199999998</v>
      </c>
      <c r="T161" s="130">
        <f t="shared" ref="T161" si="228">S161*I161</f>
        <v>24607.918540799998</v>
      </c>
    </row>
    <row r="162" spans="1:20" s="7" customFormat="1" x14ac:dyDescent="0.25">
      <c r="A162" s="276"/>
      <c r="B162" s="277"/>
      <c r="C162" s="277"/>
      <c r="D162" s="278"/>
      <c r="E162" s="277"/>
      <c r="F162" s="103"/>
      <c r="G162" s="279"/>
      <c r="H162" s="280"/>
      <c r="I162" s="281"/>
      <c r="J162" s="282"/>
      <c r="K162" s="283"/>
      <c r="L162" s="284"/>
      <c r="M162" s="285"/>
      <c r="N162" s="285"/>
      <c r="O162" s="286"/>
      <c r="P162" s="286"/>
      <c r="Q162" s="287"/>
      <c r="R162" s="288"/>
      <c r="S162" s="289"/>
      <c r="T162" s="290"/>
    </row>
    <row r="163" spans="1:20" s="7" customFormat="1" x14ac:dyDescent="0.25">
      <c r="A163" s="152" t="str">
        <f>IF(J163&lt;&gt;"",1+MAX($A$18:A160),"")</f>
        <v/>
      </c>
      <c r="B163" s="50"/>
      <c r="C163" s="63"/>
      <c r="D163" s="100"/>
      <c r="E163" s="178"/>
      <c r="F163" s="172" t="s">
        <v>723</v>
      </c>
      <c r="G163" s="51"/>
      <c r="H163" s="52"/>
      <c r="I163" s="53"/>
      <c r="J163" s="99"/>
      <c r="K163" s="153"/>
      <c r="L163" s="60"/>
      <c r="M163" s="58"/>
      <c r="N163" s="58"/>
      <c r="O163" s="61"/>
      <c r="P163" s="61"/>
      <c r="Q163" s="62"/>
      <c r="R163" s="155"/>
      <c r="S163" s="131"/>
      <c r="T163" s="130"/>
    </row>
    <row r="164" spans="1:20" s="7" customFormat="1" ht="31.2" x14ac:dyDescent="0.25">
      <c r="A164" s="152">
        <f>IF(J164&lt;&gt;"",1+MAX($A$18:A163),"")</f>
        <v>77</v>
      </c>
      <c r="B164" s="50"/>
      <c r="C164" s="50"/>
      <c r="D164" s="100" t="s">
        <v>35</v>
      </c>
      <c r="E164" s="178" t="s">
        <v>104</v>
      </c>
      <c r="F164" s="175" t="s">
        <v>804</v>
      </c>
      <c r="G164" s="51">
        <f>13*16</f>
        <v>208</v>
      </c>
      <c r="H164" s="52">
        <f>IF(VLOOKUP(J164,'HOURLY RATES'!B$116:C$124,2,0)=0,$J$3,VLOOKUP(J164,'HOURLY RATES'!B$116:C$124,2,0))</f>
        <v>0</v>
      </c>
      <c r="I164" s="53">
        <f t="shared" ref="I164:I166" si="229">(G164*(1+H164))</f>
        <v>208</v>
      </c>
      <c r="J164" s="99" t="s">
        <v>225</v>
      </c>
      <c r="K164" s="153">
        <v>1.23</v>
      </c>
      <c r="L164" s="60">
        <f t="shared" ref="L164" si="230">K164*I164</f>
        <v>255.84</v>
      </c>
      <c r="M164" s="58">
        <f>IF(VLOOKUP(E164,'HOURLY RATES'!C$6:D$105,2,0)=0,$E$3,VLOOKUP(E164,'HOURLY RATES'!C$6:D$105,2,0))</f>
        <v>54</v>
      </c>
      <c r="N164" s="58">
        <f t="shared" ref="N164" si="231">M164*L164</f>
        <v>13815.36</v>
      </c>
      <c r="O164" s="61">
        <v>28</v>
      </c>
      <c r="P164" s="61">
        <f t="shared" ref="P164:P166" si="232">O164*I164</f>
        <v>5824</v>
      </c>
      <c r="Q164" s="62">
        <f t="shared" ref="Q164:Q166" si="233">P164+N164</f>
        <v>19639.36</v>
      </c>
      <c r="R164" s="155"/>
      <c r="S164" s="131">
        <f>((((N164*(1+$D$7))+(P164*(1+$D$5+$D$6)))*(1+$D$8)))/I164</f>
        <v>116.98500239999998</v>
      </c>
      <c r="T164" s="130">
        <f t="shared" ref="T164:T166" si="234">S164*I164</f>
        <v>24332.880499199997</v>
      </c>
    </row>
    <row r="165" spans="1:20" s="7" customFormat="1" ht="31.2" x14ac:dyDescent="0.25">
      <c r="A165" s="152">
        <f>IF(J165&lt;&gt;"",1+MAX($A$18:A164),"")</f>
        <v>78</v>
      </c>
      <c r="B165" s="50"/>
      <c r="C165" s="50"/>
      <c r="D165" s="100" t="s">
        <v>35</v>
      </c>
      <c r="E165" s="178" t="s">
        <v>104</v>
      </c>
      <c r="F165" s="175" t="s">
        <v>805</v>
      </c>
      <c r="G165" s="51">
        <f>218*16</f>
        <v>3488</v>
      </c>
      <c r="H165" s="52">
        <f>IF(VLOOKUP(J165,'HOURLY RATES'!B$116:C$124,2,0)=0,$J$3,VLOOKUP(J165,'HOURLY RATES'!B$116:C$124,2,0))</f>
        <v>0.05</v>
      </c>
      <c r="I165" s="53">
        <f t="shared" si="229"/>
        <v>3662.4</v>
      </c>
      <c r="J165" s="99" t="s">
        <v>226</v>
      </c>
      <c r="K165" s="153">
        <v>1.7999999999999999E-2</v>
      </c>
      <c r="L165" s="60">
        <f t="shared" ref="L165:L166" si="235">K165*I165</f>
        <v>65.923199999999994</v>
      </c>
      <c r="M165" s="58">
        <f>IF(VLOOKUP(E165,'HOURLY RATES'!C$6:D$105,2,0)=0,$E$3,VLOOKUP(E165,'HOURLY RATES'!C$6:D$105,2,0))</f>
        <v>54</v>
      </c>
      <c r="N165" s="58">
        <f t="shared" ref="N165:N166" si="236">M165*L165</f>
        <v>3559.8527999999997</v>
      </c>
      <c r="O165" s="61">
        <v>0.8</v>
      </c>
      <c r="P165" s="61">
        <f t="shared" si="232"/>
        <v>2929.92</v>
      </c>
      <c r="Q165" s="62">
        <f t="shared" si="233"/>
        <v>6489.7727999999997</v>
      </c>
      <c r="R165" s="155"/>
      <c r="S165" s="131">
        <f>((((N165*(1+$D$7))+(P165*(1+$D$5+$D$6)))*(1+$D$8)))/I165</f>
        <v>2.2149086399999995</v>
      </c>
      <c r="T165" s="130">
        <f t="shared" si="234"/>
        <v>8111.8814031359989</v>
      </c>
    </row>
    <row r="166" spans="1:20" s="7" customFormat="1" ht="31.2" x14ac:dyDescent="0.25">
      <c r="A166" s="152">
        <f>IF(J166&lt;&gt;"",1+MAX($A$18:A165),"")</f>
        <v>79</v>
      </c>
      <c r="B166" s="50"/>
      <c r="C166" s="50"/>
      <c r="D166" s="100" t="s">
        <v>35</v>
      </c>
      <c r="E166" s="178" t="s">
        <v>104</v>
      </c>
      <c r="F166" s="175" t="s">
        <v>806</v>
      </c>
      <c r="G166" s="51">
        <f>435*16</f>
        <v>6960</v>
      </c>
      <c r="H166" s="52">
        <f>IF(VLOOKUP(J166,'HOURLY RATES'!B$116:C$124,2,0)=0,$J$3,VLOOKUP(J166,'HOURLY RATES'!B$116:C$124,2,0))</f>
        <v>0.05</v>
      </c>
      <c r="I166" s="53">
        <f t="shared" si="229"/>
        <v>7308</v>
      </c>
      <c r="J166" s="99" t="s">
        <v>226</v>
      </c>
      <c r="K166" s="153">
        <v>1.7999999999999999E-2</v>
      </c>
      <c r="L166" s="60">
        <f t="shared" si="235"/>
        <v>131.54399999999998</v>
      </c>
      <c r="M166" s="58">
        <f>IF(VLOOKUP(E166,'HOURLY RATES'!C$6:D$105,2,0)=0,$E$3,VLOOKUP(E166,'HOURLY RATES'!C$6:D$105,2,0))</f>
        <v>54</v>
      </c>
      <c r="N166" s="58">
        <f t="shared" si="236"/>
        <v>7103.3759999999993</v>
      </c>
      <c r="O166" s="61">
        <v>0.8</v>
      </c>
      <c r="P166" s="61">
        <f t="shared" si="232"/>
        <v>5846.4000000000005</v>
      </c>
      <c r="Q166" s="62">
        <f t="shared" si="233"/>
        <v>12949.776</v>
      </c>
      <c r="R166" s="155"/>
      <c r="S166" s="131">
        <f>((((N166*(1+$D$7))+(P166*(1+$D$5+$D$6)))*(1+$D$8)))/I166</f>
        <v>2.2149086399999995</v>
      </c>
      <c r="T166" s="130">
        <f t="shared" si="234"/>
        <v>16186.552341119997</v>
      </c>
    </row>
    <row r="167" spans="1:20" s="7" customFormat="1" x14ac:dyDescent="0.25">
      <c r="A167" s="152"/>
      <c r="B167" s="50"/>
      <c r="C167" s="63"/>
      <c r="D167" s="100"/>
      <c r="E167" s="178"/>
      <c r="F167" s="103"/>
      <c r="G167" s="51"/>
      <c r="H167" s="52"/>
      <c r="I167" s="53"/>
      <c r="J167" s="99"/>
      <c r="K167" s="153"/>
      <c r="L167" s="60"/>
      <c r="M167" s="58"/>
      <c r="N167" s="58"/>
      <c r="O167" s="61"/>
      <c r="P167" s="61"/>
      <c r="Q167" s="62"/>
      <c r="R167" s="155"/>
      <c r="S167" s="131"/>
      <c r="T167" s="130"/>
    </row>
    <row r="168" spans="1:20" s="7" customFormat="1" x14ac:dyDescent="0.25">
      <c r="A168" s="152">
        <f>IF(J168&lt;&gt;"",1+MAX($A$18:A166),"")</f>
        <v>80</v>
      </c>
      <c r="B168" s="50"/>
      <c r="C168" s="63"/>
      <c r="D168" s="100"/>
      <c r="E168" s="178"/>
      <c r="F168" s="177" t="s">
        <v>754</v>
      </c>
      <c r="G168" s="108">
        <v>2</v>
      </c>
      <c r="H168" s="52"/>
      <c r="I168" s="53"/>
      <c r="J168" s="99" t="s">
        <v>225</v>
      </c>
      <c r="K168" s="153"/>
      <c r="L168" s="60"/>
      <c r="M168" s="58"/>
      <c r="N168" s="58"/>
      <c r="O168" s="61"/>
      <c r="P168" s="61"/>
      <c r="Q168" s="62"/>
      <c r="R168" s="155"/>
      <c r="S168" s="131"/>
      <c r="T168" s="130"/>
    </row>
    <row r="169" spans="1:20" s="7" customFormat="1" x14ac:dyDescent="0.25">
      <c r="A169" s="152" t="str">
        <f>IF(J169&lt;&gt;"",1+MAX($A$18:A168),"")</f>
        <v/>
      </c>
      <c r="B169" s="50"/>
      <c r="C169" s="63"/>
      <c r="D169" s="100"/>
      <c r="E169" s="178"/>
      <c r="F169" s="172" t="s">
        <v>722</v>
      </c>
      <c r="G169" s="51"/>
      <c r="H169" s="52"/>
      <c r="I169" s="53"/>
      <c r="J169" s="99"/>
      <c r="K169" s="153"/>
      <c r="L169" s="60"/>
      <c r="M169" s="58"/>
      <c r="N169" s="58"/>
      <c r="O169" s="61"/>
      <c r="P169" s="61"/>
      <c r="Q169" s="62"/>
      <c r="R169" s="155"/>
      <c r="S169" s="131"/>
      <c r="T169" s="130"/>
    </row>
    <row r="170" spans="1:20" s="7" customFormat="1" ht="31.2" x14ac:dyDescent="0.25">
      <c r="A170" s="152">
        <f>IF(J170&lt;&gt;"",1+MAX($A$18:A169),"")</f>
        <v>81</v>
      </c>
      <c r="B170" s="50"/>
      <c r="C170" s="50"/>
      <c r="D170" s="100" t="s">
        <v>35</v>
      </c>
      <c r="E170" s="178" t="s">
        <v>104</v>
      </c>
      <c r="F170" s="175" t="s">
        <v>758</v>
      </c>
      <c r="G170" s="51">
        <f>2173*2</f>
        <v>4346</v>
      </c>
      <c r="H170" s="52">
        <f>IF(VLOOKUP(J170,'HOURLY RATES'!B$116:C$124,2,0)=0,$J$3,VLOOKUP(J170,'HOURLY RATES'!B$116:C$124,2,0))</f>
        <v>0.05</v>
      </c>
      <c r="I170" s="53">
        <f t="shared" ref="I170" si="237">(G170*(1+H170))</f>
        <v>4563.3</v>
      </c>
      <c r="J170" s="99" t="s">
        <v>224</v>
      </c>
      <c r="K170" s="153">
        <v>2.1999999999999999E-2</v>
      </c>
      <c r="L170" s="60">
        <f t="shared" ref="L170" si="238">K170*I170</f>
        <v>100.3926</v>
      </c>
      <c r="M170" s="58">
        <f>IF(VLOOKUP(E170,'HOURLY RATES'!C$6:D$105,2,0)=0,$E$3,VLOOKUP(E170,'HOURLY RATES'!C$6:D$105,2,0))</f>
        <v>54</v>
      </c>
      <c r="N170" s="58">
        <f t="shared" ref="N170" si="239">M170*L170</f>
        <v>5421.2003999999997</v>
      </c>
      <c r="O170" s="61">
        <v>0.4</v>
      </c>
      <c r="P170" s="61">
        <f t="shared" ref="P170" si="240">O170*I170</f>
        <v>1825.3200000000002</v>
      </c>
      <c r="Q170" s="62">
        <f t="shared" ref="Q170" si="241">P170+N170</f>
        <v>7246.5203999999994</v>
      </c>
      <c r="R170" s="155"/>
      <c r="S170" s="131">
        <f>((((N170*(1+$D$7))+(P170*(1+$D$5+$D$6)))*(1+$D$8)))/I170</f>
        <v>1.9624903200000001</v>
      </c>
      <c r="T170" s="130">
        <f t="shared" ref="T170" si="242">S170*I170</f>
        <v>8955.4320772560004</v>
      </c>
    </row>
    <row r="171" spans="1:20" s="7" customFormat="1" x14ac:dyDescent="0.25">
      <c r="A171" s="152"/>
      <c r="B171" s="50"/>
      <c r="C171" s="63"/>
      <c r="D171" s="100"/>
      <c r="E171" s="178"/>
      <c r="F171" s="103"/>
      <c r="G171" s="51"/>
      <c r="H171" s="52"/>
      <c r="I171" s="53"/>
      <c r="J171" s="99"/>
      <c r="K171" s="153"/>
      <c r="L171" s="60"/>
      <c r="M171" s="58"/>
      <c r="N171" s="58"/>
      <c r="O171" s="61"/>
      <c r="P171" s="61"/>
      <c r="Q171" s="62"/>
      <c r="R171" s="155"/>
      <c r="S171" s="131"/>
      <c r="T171" s="130"/>
    </row>
    <row r="172" spans="1:20" s="7" customFormat="1" x14ac:dyDescent="0.25">
      <c r="A172" s="152" t="str">
        <f>IF(J172&lt;&gt;"",1+MAX($A$18:A170),"")</f>
        <v/>
      </c>
      <c r="B172" s="50"/>
      <c r="C172" s="63"/>
      <c r="D172" s="100"/>
      <c r="E172" s="178"/>
      <c r="F172" s="172" t="s">
        <v>719</v>
      </c>
      <c r="G172" s="51"/>
      <c r="H172" s="52"/>
      <c r="I172" s="53"/>
      <c r="J172" s="99"/>
      <c r="K172" s="153"/>
      <c r="L172" s="60"/>
      <c r="M172" s="58"/>
      <c r="N172" s="58"/>
      <c r="O172" s="61"/>
      <c r="P172" s="61"/>
      <c r="Q172" s="62"/>
      <c r="R172" s="155"/>
      <c r="S172" s="131"/>
      <c r="T172" s="130"/>
    </row>
    <row r="173" spans="1:20" s="7" customFormat="1" ht="31.2" x14ac:dyDescent="0.25">
      <c r="A173" s="152">
        <f>IF(J173&lt;&gt;"",1+MAX($A$18:A172),"")</f>
        <v>82</v>
      </c>
      <c r="B173" s="50"/>
      <c r="C173" s="50"/>
      <c r="D173" s="100" t="s">
        <v>35</v>
      </c>
      <c r="E173" s="178" t="s">
        <v>104</v>
      </c>
      <c r="F173" s="175" t="s">
        <v>760</v>
      </c>
      <c r="G173" s="51">
        <f>550*2</f>
        <v>1100</v>
      </c>
      <c r="H173" s="52">
        <f>IF(VLOOKUP(J173,'HOURLY RATES'!B$116:C$124,2,0)=0,$J$3,VLOOKUP(J173,'HOURLY RATES'!B$116:C$124,2,0))</f>
        <v>0.05</v>
      </c>
      <c r="I173" s="53">
        <f t="shared" ref="I173:I177" si="243">(G173*(1+H173))</f>
        <v>1155</v>
      </c>
      <c r="J173" s="99" t="s">
        <v>226</v>
      </c>
      <c r="K173" s="153">
        <v>1.7999999999999999E-2</v>
      </c>
      <c r="L173" s="60">
        <f t="shared" ref="L173" si="244">K173*I173</f>
        <v>20.79</v>
      </c>
      <c r="M173" s="58">
        <f>IF(VLOOKUP(E173,'HOURLY RATES'!C$6:D$105,2,0)=0,$E$3,VLOOKUP(E173,'HOURLY RATES'!C$6:D$105,2,0))</f>
        <v>54</v>
      </c>
      <c r="N173" s="58">
        <f t="shared" ref="N173" si="245">M173*L173</f>
        <v>1122.6599999999999</v>
      </c>
      <c r="O173" s="61">
        <v>0.8</v>
      </c>
      <c r="P173" s="61">
        <f t="shared" ref="P173:P177" si="246">O173*I173</f>
        <v>924</v>
      </c>
      <c r="Q173" s="62">
        <f t="shared" ref="Q173:Q177" si="247">P173+N173</f>
        <v>2046.6599999999999</v>
      </c>
      <c r="R173" s="155"/>
      <c r="S173" s="131">
        <f>((((N173*(1+$D$7))+(P173*(1+$D$5+$D$6)))*(1+$D$8)))/I173</f>
        <v>2.2149086399999995</v>
      </c>
      <c r="T173" s="130">
        <f t="shared" ref="T173:T177" si="248">S173*I173</f>
        <v>2558.2194791999996</v>
      </c>
    </row>
    <row r="174" spans="1:20" s="7" customFormat="1" x14ac:dyDescent="0.25">
      <c r="A174" s="152"/>
      <c r="B174" s="50"/>
      <c r="C174" s="63"/>
      <c r="D174" s="100"/>
      <c r="E174" s="178"/>
      <c r="F174" s="103"/>
      <c r="G174" s="51"/>
      <c r="H174" s="52"/>
      <c r="I174" s="53"/>
      <c r="J174" s="99"/>
      <c r="K174" s="153"/>
      <c r="L174" s="60"/>
      <c r="M174" s="58"/>
      <c r="N174" s="58"/>
      <c r="O174" s="61"/>
      <c r="P174" s="61"/>
      <c r="Q174" s="62"/>
      <c r="R174" s="155"/>
      <c r="S174" s="131"/>
      <c r="T174" s="130"/>
    </row>
    <row r="175" spans="1:20" s="7" customFormat="1" x14ac:dyDescent="0.25">
      <c r="A175" s="152" t="str">
        <f>IF(J175&lt;&gt;"",1+MAX($A$18:A173),"")</f>
        <v/>
      </c>
      <c r="B175" s="50"/>
      <c r="C175" s="63"/>
      <c r="D175" s="100"/>
      <c r="E175" s="178"/>
      <c r="F175" s="172" t="s">
        <v>223</v>
      </c>
      <c r="G175" s="51"/>
      <c r="H175" s="52"/>
      <c r="I175" s="53"/>
      <c r="J175" s="99"/>
      <c r="K175" s="153"/>
      <c r="L175" s="60"/>
      <c r="M175" s="58"/>
      <c r="N175" s="58"/>
      <c r="O175" s="61"/>
      <c r="P175" s="61"/>
      <c r="Q175" s="62"/>
      <c r="R175" s="155"/>
      <c r="S175" s="131"/>
      <c r="T175" s="130"/>
    </row>
    <row r="176" spans="1:20" s="7" customFormat="1" ht="31.2" x14ac:dyDescent="0.25">
      <c r="A176" s="152">
        <f>IF(J176&lt;&gt;"",1+MAX($A$18:A174),"")</f>
        <v>83</v>
      </c>
      <c r="B176" s="50"/>
      <c r="C176" s="50"/>
      <c r="D176" s="100" t="s">
        <v>35</v>
      </c>
      <c r="E176" s="178" t="s">
        <v>104</v>
      </c>
      <c r="F176" s="175" t="s">
        <v>757</v>
      </c>
      <c r="G176" s="51">
        <f>4741*2</f>
        <v>9482</v>
      </c>
      <c r="H176" s="52">
        <f>IF(VLOOKUP(J176,'HOURLY RATES'!B$116:C$124,2,0)=0,$J$3,VLOOKUP(J176,'HOURLY RATES'!B$116:C$124,2,0))</f>
        <v>0.05</v>
      </c>
      <c r="I176" s="53">
        <f t="shared" ref="I176" si="249">(G176*(1+H176))</f>
        <v>9956.1</v>
      </c>
      <c r="J176" s="99" t="s">
        <v>224</v>
      </c>
      <c r="K176" s="153">
        <v>0.02</v>
      </c>
      <c r="L176" s="60">
        <f t="shared" ref="L176" si="250">K176*I176</f>
        <v>199.12200000000001</v>
      </c>
      <c r="M176" s="58">
        <f>IF(VLOOKUP(E176,'HOURLY RATES'!C$6:D$105,2,0)=0,$E$3,VLOOKUP(E176,'HOURLY RATES'!C$6:D$105,2,0))</f>
        <v>54</v>
      </c>
      <c r="N176" s="58">
        <f t="shared" ref="N176" si="251">M176*L176</f>
        <v>10752.588000000002</v>
      </c>
      <c r="O176" s="61">
        <v>0.4</v>
      </c>
      <c r="P176" s="61">
        <f t="shared" ref="P176" si="252">O176*I176</f>
        <v>3982.4400000000005</v>
      </c>
      <c r="Q176" s="62">
        <f t="shared" ref="Q176" si="253">P176+N176</f>
        <v>14735.028000000002</v>
      </c>
      <c r="R176" s="155"/>
      <c r="S176" s="131">
        <f>((((N176*(1+$D$7))+(P176*(1+$D$5+$D$6)))*(1+$D$8)))/I176</f>
        <v>1.83094632</v>
      </c>
      <c r="T176" s="130">
        <f t="shared" ref="T176" si="254">S176*I176</f>
        <v>18229.084656552001</v>
      </c>
    </row>
    <row r="177" spans="1:20" s="7" customFormat="1" ht="31.2" x14ac:dyDescent="0.25">
      <c r="A177" s="152">
        <f>IF(J177&lt;&gt;"",1+MAX($A$18:A175),"")</f>
        <v>83</v>
      </c>
      <c r="B177" s="50"/>
      <c r="C177" s="50"/>
      <c r="D177" s="100" t="s">
        <v>35</v>
      </c>
      <c r="E177" s="178" t="s">
        <v>104</v>
      </c>
      <c r="F177" s="175" t="s">
        <v>759</v>
      </c>
      <c r="G177" s="51">
        <f>800*2</f>
        <v>1600</v>
      </c>
      <c r="H177" s="52">
        <f>IF(VLOOKUP(J177,'HOURLY RATES'!B$116:C$124,2,0)=0,$J$3,VLOOKUP(J177,'HOURLY RATES'!B$116:C$124,2,0))</f>
        <v>0.05</v>
      </c>
      <c r="I177" s="53">
        <f t="shared" si="243"/>
        <v>1680</v>
      </c>
      <c r="J177" s="99" t="s">
        <v>224</v>
      </c>
      <c r="K177" s="153">
        <v>0.02</v>
      </c>
      <c r="L177" s="60">
        <f t="shared" ref="L177" si="255">K177*I177</f>
        <v>33.6</v>
      </c>
      <c r="M177" s="58">
        <f>IF(VLOOKUP(E177,'HOURLY RATES'!C$6:D$105,2,0)=0,$E$3,VLOOKUP(E177,'HOURLY RATES'!C$6:D$105,2,0))</f>
        <v>54</v>
      </c>
      <c r="N177" s="58">
        <f t="shared" ref="N177" si="256">M177*L177</f>
        <v>1814.4</v>
      </c>
      <c r="O177" s="61">
        <v>0.4</v>
      </c>
      <c r="P177" s="61">
        <f t="shared" si="246"/>
        <v>672</v>
      </c>
      <c r="Q177" s="62">
        <f t="shared" si="247"/>
        <v>2486.4</v>
      </c>
      <c r="R177" s="155"/>
      <c r="S177" s="131">
        <f>((((N177*(1+$D$7))+(P177*(1+$D$5+$D$6)))*(1+$D$8)))/I177</f>
        <v>1.8309463199999998</v>
      </c>
      <c r="T177" s="130">
        <f t="shared" si="248"/>
        <v>3075.9898175999997</v>
      </c>
    </row>
    <row r="178" spans="1:20" s="7" customFormat="1" x14ac:dyDescent="0.25">
      <c r="A178" s="152"/>
      <c r="B178" s="50"/>
      <c r="C178" s="63"/>
      <c r="D178" s="100"/>
      <c r="E178" s="178"/>
      <c r="F178" s="103"/>
      <c r="G178" s="51"/>
      <c r="H178" s="52"/>
      <c r="I178" s="53"/>
      <c r="J178" s="99"/>
      <c r="K178" s="153"/>
      <c r="L178" s="60"/>
      <c r="M178" s="58"/>
      <c r="N178" s="58"/>
      <c r="O178" s="61"/>
      <c r="P178" s="61"/>
      <c r="Q178" s="62"/>
      <c r="R178" s="155"/>
      <c r="S178" s="131"/>
      <c r="T178" s="130"/>
    </row>
    <row r="179" spans="1:20" s="7" customFormat="1" x14ac:dyDescent="0.25">
      <c r="A179" s="152" t="str">
        <f>IF(J179&lt;&gt;"",1+MAX($A$18:A177),"")</f>
        <v/>
      </c>
      <c r="B179" s="50"/>
      <c r="C179" s="63"/>
      <c r="D179" s="100"/>
      <c r="E179" s="178"/>
      <c r="F179" s="172" t="s">
        <v>723</v>
      </c>
      <c r="G179" s="51"/>
      <c r="H179" s="52"/>
      <c r="I179" s="53"/>
      <c r="J179" s="99"/>
      <c r="K179" s="153"/>
      <c r="L179" s="60"/>
      <c r="M179" s="58"/>
      <c r="N179" s="58"/>
      <c r="O179" s="61"/>
      <c r="P179" s="61"/>
      <c r="Q179" s="62"/>
      <c r="R179" s="155"/>
      <c r="S179" s="131"/>
      <c r="T179" s="130"/>
    </row>
    <row r="180" spans="1:20" s="7" customFormat="1" ht="31.2" x14ac:dyDescent="0.25">
      <c r="A180" s="152">
        <f>IF(J180&lt;&gt;"",1+MAX($A$18:A179),"")</f>
        <v>84</v>
      </c>
      <c r="B180" s="50"/>
      <c r="C180" s="50"/>
      <c r="D180" s="100" t="s">
        <v>35</v>
      </c>
      <c r="E180" s="178" t="s">
        <v>104</v>
      </c>
      <c r="F180" s="175" t="s">
        <v>804</v>
      </c>
      <c r="G180" s="51">
        <v>24</v>
      </c>
      <c r="H180" s="52">
        <f>IF(VLOOKUP(J180,'HOURLY RATES'!B$116:C$124,2,0)=0,$J$3,VLOOKUP(J180,'HOURLY RATES'!B$116:C$124,2,0))</f>
        <v>0</v>
      </c>
      <c r="I180" s="53">
        <f t="shared" ref="I180:I182" si="257">(G180*(1+H180))</f>
        <v>24</v>
      </c>
      <c r="J180" s="99" t="s">
        <v>225</v>
      </c>
      <c r="K180" s="153">
        <v>1.23</v>
      </c>
      <c r="L180" s="60">
        <f t="shared" ref="L180" si="258">K180*I180</f>
        <v>29.52</v>
      </c>
      <c r="M180" s="58">
        <f>IF(VLOOKUP(E180,'HOURLY RATES'!C$6:D$105,2,0)=0,$E$3,VLOOKUP(E180,'HOURLY RATES'!C$6:D$105,2,0))</f>
        <v>54</v>
      </c>
      <c r="N180" s="58">
        <f t="shared" ref="N180" si="259">M180*L180</f>
        <v>1594.08</v>
      </c>
      <c r="O180" s="61">
        <v>28</v>
      </c>
      <c r="P180" s="61">
        <f t="shared" ref="P180:P182" si="260">O180*I180</f>
        <v>672</v>
      </c>
      <c r="Q180" s="62">
        <f t="shared" ref="Q180:Q182" si="261">P180+N180</f>
        <v>2266.08</v>
      </c>
      <c r="R180" s="155"/>
      <c r="S180" s="131">
        <f>((((N180*(1+$D$7))+(P180*(1+$D$5+$D$6)))*(1+$D$8)))/I180</f>
        <v>116.98500239999997</v>
      </c>
      <c r="T180" s="130">
        <f t="shared" ref="T180:T182" si="262">S180*I180</f>
        <v>2807.6400575999992</v>
      </c>
    </row>
    <row r="181" spans="1:20" s="7" customFormat="1" ht="31.2" x14ac:dyDescent="0.25">
      <c r="A181" s="152">
        <f>IF(J181&lt;&gt;"",1+MAX($A$18:A180),"")</f>
        <v>85</v>
      </c>
      <c r="B181" s="50"/>
      <c r="C181" s="50"/>
      <c r="D181" s="100" t="s">
        <v>35</v>
      </c>
      <c r="E181" s="178" t="s">
        <v>104</v>
      </c>
      <c r="F181" s="175" t="s">
        <v>805</v>
      </c>
      <c r="G181" s="51">
        <f>201*2</f>
        <v>402</v>
      </c>
      <c r="H181" s="52">
        <f>IF(VLOOKUP(J181,'HOURLY RATES'!B$116:C$124,2,0)=0,$J$3,VLOOKUP(J181,'HOURLY RATES'!B$116:C$124,2,0))</f>
        <v>0.05</v>
      </c>
      <c r="I181" s="53">
        <f t="shared" si="257"/>
        <v>422.1</v>
      </c>
      <c r="J181" s="99" t="s">
        <v>226</v>
      </c>
      <c r="K181" s="153">
        <v>1.7999999999999999E-2</v>
      </c>
      <c r="L181" s="60">
        <f t="shared" ref="L181:L182" si="263">K181*I181</f>
        <v>7.5977999999999994</v>
      </c>
      <c r="M181" s="58">
        <f>IF(VLOOKUP(E181,'HOURLY RATES'!C$6:D$105,2,0)=0,$E$3,VLOOKUP(E181,'HOURLY RATES'!C$6:D$105,2,0))</f>
        <v>54</v>
      </c>
      <c r="N181" s="58">
        <f t="shared" ref="N181:N182" si="264">M181*L181</f>
        <v>410.28119999999996</v>
      </c>
      <c r="O181" s="61">
        <v>0.8</v>
      </c>
      <c r="P181" s="61">
        <f t="shared" si="260"/>
        <v>337.68000000000006</v>
      </c>
      <c r="Q181" s="62">
        <f t="shared" si="261"/>
        <v>747.96119999999996</v>
      </c>
      <c r="R181" s="155"/>
      <c r="S181" s="131">
        <f>((((N181*(1+$D$7))+(P181*(1+$D$5+$D$6)))*(1+$D$8)))/I181</f>
        <v>2.21490864</v>
      </c>
      <c r="T181" s="130">
        <f t="shared" si="262"/>
        <v>934.91293694400008</v>
      </c>
    </row>
    <row r="182" spans="1:20" s="7" customFormat="1" ht="31.2" x14ac:dyDescent="0.25">
      <c r="A182" s="152">
        <f>IF(J182&lt;&gt;"",1+MAX($A$18:A181),"")</f>
        <v>86</v>
      </c>
      <c r="B182" s="50"/>
      <c r="C182" s="50"/>
      <c r="D182" s="100" t="s">
        <v>35</v>
      </c>
      <c r="E182" s="178" t="s">
        <v>104</v>
      </c>
      <c r="F182" s="175" t="s">
        <v>806</v>
      </c>
      <c r="G182" s="51">
        <f>401*2</f>
        <v>802</v>
      </c>
      <c r="H182" s="52">
        <f>IF(VLOOKUP(J182,'HOURLY RATES'!B$116:C$124,2,0)=0,$J$3,VLOOKUP(J182,'HOURLY RATES'!B$116:C$124,2,0))</f>
        <v>0.05</v>
      </c>
      <c r="I182" s="53">
        <f t="shared" si="257"/>
        <v>842.1</v>
      </c>
      <c r="J182" s="99" t="s">
        <v>226</v>
      </c>
      <c r="K182" s="153">
        <v>1.7999999999999999E-2</v>
      </c>
      <c r="L182" s="60">
        <f t="shared" si="263"/>
        <v>15.1578</v>
      </c>
      <c r="M182" s="58">
        <f>IF(VLOOKUP(E182,'HOURLY RATES'!C$6:D$105,2,0)=0,$E$3,VLOOKUP(E182,'HOURLY RATES'!C$6:D$105,2,0))</f>
        <v>54</v>
      </c>
      <c r="N182" s="58">
        <f t="shared" si="264"/>
        <v>818.52120000000002</v>
      </c>
      <c r="O182" s="61">
        <v>0.8</v>
      </c>
      <c r="P182" s="61">
        <f t="shared" si="260"/>
        <v>673.68000000000006</v>
      </c>
      <c r="Q182" s="62">
        <f t="shared" si="261"/>
        <v>1492.2012</v>
      </c>
      <c r="R182" s="155"/>
      <c r="S182" s="131">
        <f>((((N182*(1+$D$7))+(P182*(1+$D$5+$D$6)))*(1+$D$8)))/I182</f>
        <v>2.2149086399999995</v>
      </c>
      <c r="T182" s="130">
        <f t="shared" si="262"/>
        <v>1865.1745657439997</v>
      </c>
    </row>
    <row r="183" spans="1:20" s="7" customFormat="1" x14ac:dyDescent="0.25">
      <c r="A183" s="152"/>
      <c r="B183" s="50"/>
      <c r="C183" s="63"/>
      <c r="D183" s="100"/>
      <c r="E183" s="178"/>
      <c r="F183" s="103"/>
      <c r="G183" s="51"/>
      <c r="H183" s="52"/>
      <c r="I183" s="53"/>
      <c r="J183" s="99"/>
      <c r="K183" s="153"/>
      <c r="L183" s="60"/>
      <c r="M183" s="58"/>
      <c r="N183" s="58"/>
      <c r="O183" s="61"/>
      <c r="P183" s="61"/>
      <c r="Q183" s="62"/>
      <c r="R183" s="155"/>
      <c r="S183" s="131"/>
      <c r="T183" s="130"/>
    </row>
    <row r="184" spans="1:20" s="7" customFormat="1" x14ac:dyDescent="0.25">
      <c r="A184" s="152">
        <f>IF(J184&lt;&gt;"",1+MAX($A$18:A182),"")</f>
        <v>87</v>
      </c>
      <c r="B184" s="50"/>
      <c r="C184" s="63"/>
      <c r="D184" s="100"/>
      <c r="E184" s="178"/>
      <c r="F184" s="177" t="s">
        <v>755</v>
      </c>
      <c r="G184" s="108">
        <v>6</v>
      </c>
      <c r="H184" s="52"/>
      <c r="I184" s="53"/>
      <c r="J184" s="99" t="s">
        <v>225</v>
      </c>
      <c r="K184" s="153"/>
      <c r="L184" s="60"/>
      <c r="M184" s="58"/>
      <c r="N184" s="58"/>
      <c r="O184" s="61"/>
      <c r="P184" s="61"/>
      <c r="Q184" s="62"/>
      <c r="R184" s="155"/>
      <c r="S184" s="131"/>
      <c r="T184" s="130"/>
    </row>
    <row r="185" spans="1:20" s="7" customFormat="1" x14ac:dyDescent="0.25">
      <c r="A185" s="152" t="str">
        <f>IF(J185&lt;&gt;"",1+MAX($A$18:A184),"")</f>
        <v/>
      </c>
      <c r="B185" s="50"/>
      <c r="C185" s="63"/>
      <c r="D185" s="100"/>
      <c r="E185" s="178"/>
      <c r="F185" s="172" t="s">
        <v>722</v>
      </c>
      <c r="G185" s="51"/>
      <c r="H185" s="52"/>
      <c r="I185" s="53"/>
      <c r="J185" s="99"/>
      <c r="K185" s="153"/>
      <c r="L185" s="60"/>
      <c r="M185" s="58"/>
      <c r="N185" s="58"/>
      <c r="O185" s="61"/>
      <c r="P185" s="61"/>
      <c r="Q185" s="62"/>
      <c r="R185" s="155"/>
      <c r="S185" s="131"/>
      <c r="T185" s="130"/>
    </row>
    <row r="186" spans="1:20" s="7" customFormat="1" ht="31.2" x14ac:dyDescent="0.25">
      <c r="A186" s="152">
        <f>IF(J186&lt;&gt;"",1+MAX($A$18:A185),"")</f>
        <v>88</v>
      </c>
      <c r="B186" s="50"/>
      <c r="C186" s="50"/>
      <c r="D186" s="100" t="s">
        <v>35</v>
      </c>
      <c r="E186" s="178" t="s">
        <v>104</v>
      </c>
      <c r="F186" s="175" t="s">
        <v>758</v>
      </c>
      <c r="G186" s="51">
        <f>1309*6</f>
        <v>7854</v>
      </c>
      <c r="H186" s="52">
        <f>IF(VLOOKUP(J186,'HOURLY RATES'!B$116:C$124,2,0)=0,$J$3,VLOOKUP(J186,'HOURLY RATES'!B$116:C$124,2,0))</f>
        <v>0.05</v>
      </c>
      <c r="I186" s="53">
        <f t="shared" ref="I186" si="265">(G186*(1+H186))</f>
        <v>8246.7000000000007</v>
      </c>
      <c r="J186" s="99" t="s">
        <v>224</v>
      </c>
      <c r="K186" s="153">
        <v>2.1999999999999999E-2</v>
      </c>
      <c r="L186" s="60">
        <f t="shared" ref="L186" si="266">K186*I186</f>
        <v>181.42740000000001</v>
      </c>
      <c r="M186" s="58">
        <f>IF(VLOOKUP(E186,'HOURLY RATES'!C$6:D$105,2,0)=0,$E$3,VLOOKUP(E186,'HOURLY RATES'!C$6:D$105,2,0))</f>
        <v>54</v>
      </c>
      <c r="N186" s="58">
        <f t="shared" ref="N186" si="267">M186*L186</f>
        <v>9797.0796000000009</v>
      </c>
      <c r="O186" s="61">
        <v>0.4</v>
      </c>
      <c r="P186" s="61">
        <f t="shared" ref="P186" si="268">O186*I186</f>
        <v>3298.6800000000003</v>
      </c>
      <c r="Q186" s="62">
        <f t="shared" ref="Q186" si="269">P186+N186</f>
        <v>13095.759600000001</v>
      </c>
      <c r="R186" s="155"/>
      <c r="S186" s="131">
        <f>((((N186*(1+$D$7))+(P186*(1+$D$5+$D$6)))*(1+$D$8)))/I186</f>
        <v>1.9624903199999995</v>
      </c>
      <c r="T186" s="130">
        <f t="shared" ref="T186" si="270">S186*I186</f>
        <v>16184.068921943997</v>
      </c>
    </row>
    <row r="187" spans="1:20" s="7" customFormat="1" x14ac:dyDescent="0.25">
      <c r="A187" s="152"/>
      <c r="B187" s="50"/>
      <c r="C187" s="63"/>
      <c r="D187" s="100"/>
      <c r="E187" s="178"/>
      <c r="F187" s="103"/>
      <c r="G187" s="51"/>
      <c r="H187" s="52"/>
      <c r="I187" s="53"/>
      <c r="J187" s="99"/>
      <c r="K187" s="153"/>
      <c r="L187" s="60"/>
      <c r="M187" s="58"/>
      <c r="N187" s="58"/>
      <c r="O187" s="61"/>
      <c r="P187" s="61"/>
      <c r="Q187" s="62"/>
      <c r="R187" s="155"/>
      <c r="S187" s="131"/>
      <c r="T187" s="130"/>
    </row>
    <row r="188" spans="1:20" s="7" customFormat="1" x14ac:dyDescent="0.25">
      <c r="A188" s="152" t="str">
        <f>IF(J188&lt;&gt;"",1+MAX($A$18:A186),"")</f>
        <v/>
      </c>
      <c r="B188" s="50"/>
      <c r="C188" s="63"/>
      <c r="D188" s="100"/>
      <c r="E188" s="178"/>
      <c r="F188" s="172" t="s">
        <v>719</v>
      </c>
      <c r="G188" s="51"/>
      <c r="H188" s="52"/>
      <c r="I188" s="53"/>
      <c r="J188" s="99"/>
      <c r="K188" s="153"/>
      <c r="L188" s="60"/>
      <c r="M188" s="58"/>
      <c r="N188" s="58"/>
      <c r="O188" s="61"/>
      <c r="P188" s="61"/>
      <c r="Q188" s="62"/>
      <c r="R188" s="155"/>
      <c r="S188" s="131"/>
      <c r="T188" s="130"/>
    </row>
    <row r="189" spans="1:20" s="7" customFormat="1" ht="31.2" x14ac:dyDescent="0.25">
      <c r="A189" s="152">
        <f>IF(J189&lt;&gt;"",1+MAX($A$18:A188),"")</f>
        <v>89</v>
      </c>
      <c r="B189" s="50"/>
      <c r="C189" s="50"/>
      <c r="D189" s="100" t="s">
        <v>35</v>
      </c>
      <c r="E189" s="178" t="s">
        <v>104</v>
      </c>
      <c r="F189" s="175" t="s">
        <v>760</v>
      </c>
      <c r="G189" s="51">
        <f>370*6</f>
        <v>2220</v>
      </c>
      <c r="H189" s="52">
        <f>IF(VLOOKUP(J189,'HOURLY RATES'!B$116:C$124,2,0)=0,$J$3,VLOOKUP(J189,'HOURLY RATES'!B$116:C$124,2,0))</f>
        <v>0.05</v>
      </c>
      <c r="I189" s="53">
        <f t="shared" ref="I189:I192" si="271">(G189*(1+H189))</f>
        <v>2331</v>
      </c>
      <c r="J189" s="99" t="s">
        <v>226</v>
      </c>
      <c r="K189" s="153">
        <v>1.7999999999999999E-2</v>
      </c>
      <c r="L189" s="60">
        <f t="shared" ref="L189" si="272">K189*I189</f>
        <v>41.957999999999998</v>
      </c>
      <c r="M189" s="58">
        <f>IF(VLOOKUP(E189,'HOURLY RATES'!C$6:D$105,2,0)=0,$E$3,VLOOKUP(E189,'HOURLY RATES'!C$6:D$105,2,0))</f>
        <v>54</v>
      </c>
      <c r="N189" s="58">
        <f t="shared" ref="N189" si="273">M189*L189</f>
        <v>2265.732</v>
      </c>
      <c r="O189" s="61">
        <v>0.8</v>
      </c>
      <c r="P189" s="61">
        <f t="shared" ref="P189:P192" si="274">O189*I189</f>
        <v>1864.8000000000002</v>
      </c>
      <c r="Q189" s="62">
        <f t="shared" ref="Q189:Q192" si="275">P189+N189</f>
        <v>4130.5320000000002</v>
      </c>
      <c r="R189" s="155"/>
      <c r="S189" s="131">
        <f>((((N189*(1+$D$7))+(P189*(1+$D$5+$D$6)))*(1+$D$8)))/I189</f>
        <v>2.21490864</v>
      </c>
      <c r="T189" s="130">
        <f t="shared" ref="T189:T192" si="276">S189*I189</f>
        <v>5162.95203984</v>
      </c>
    </row>
    <row r="190" spans="1:20" s="7" customFormat="1" x14ac:dyDescent="0.25">
      <c r="A190" s="152"/>
      <c r="B190" s="50"/>
      <c r="C190" s="63"/>
      <c r="D190" s="100"/>
      <c r="E190" s="178"/>
      <c r="F190" s="103"/>
      <c r="G190" s="51"/>
      <c r="H190" s="52"/>
      <c r="I190" s="53"/>
      <c r="J190" s="99"/>
      <c r="K190" s="153"/>
      <c r="L190" s="60"/>
      <c r="M190" s="58"/>
      <c r="N190" s="58"/>
      <c r="O190" s="61"/>
      <c r="P190" s="61"/>
      <c r="Q190" s="62"/>
      <c r="R190" s="155"/>
      <c r="S190" s="131"/>
      <c r="T190" s="130"/>
    </row>
    <row r="191" spans="1:20" s="7" customFormat="1" x14ac:dyDescent="0.25">
      <c r="A191" s="152" t="str">
        <f>IF(J191&lt;&gt;"",1+MAX($A$18:A189),"")</f>
        <v/>
      </c>
      <c r="B191" s="50"/>
      <c r="C191" s="63"/>
      <c r="D191" s="100"/>
      <c r="E191" s="178"/>
      <c r="F191" s="172" t="s">
        <v>223</v>
      </c>
      <c r="G191" s="51"/>
      <c r="H191" s="52"/>
      <c r="I191" s="53"/>
      <c r="J191" s="99"/>
      <c r="K191" s="153"/>
      <c r="L191" s="60"/>
      <c r="M191" s="58"/>
      <c r="N191" s="58"/>
      <c r="O191" s="61"/>
      <c r="P191" s="61"/>
      <c r="Q191" s="62"/>
      <c r="R191" s="155"/>
      <c r="S191" s="131"/>
      <c r="T191" s="130"/>
    </row>
    <row r="192" spans="1:20" s="7" customFormat="1" ht="31.2" x14ac:dyDescent="0.25">
      <c r="A192" s="152">
        <f>IF(J192&lt;&gt;"",1+MAX($A$18:A191),"")</f>
        <v>90</v>
      </c>
      <c r="B192" s="50"/>
      <c r="C192" s="50"/>
      <c r="D192" s="100" t="s">
        <v>35</v>
      </c>
      <c r="E192" s="178" t="s">
        <v>104</v>
      </c>
      <c r="F192" s="175" t="s">
        <v>757</v>
      </c>
      <c r="G192" s="51">
        <f>3363*6</f>
        <v>20178</v>
      </c>
      <c r="H192" s="52">
        <f>IF(VLOOKUP(J192,'HOURLY RATES'!B$116:C$124,2,0)=0,$J$3,VLOOKUP(J192,'HOURLY RATES'!B$116:C$124,2,0))</f>
        <v>0.05</v>
      </c>
      <c r="I192" s="53">
        <f t="shared" si="271"/>
        <v>21186.9</v>
      </c>
      <c r="J192" s="99" t="s">
        <v>224</v>
      </c>
      <c r="K192" s="153">
        <v>0.02</v>
      </c>
      <c r="L192" s="60">
        <f t="shared" ref="L192" si="277">K192*I192</f>
        <v>423.73800000000006</v>
      </c>
      <c r="M192" s="58">
        <f>IF(VLOOKUP(E192,'HOURLY RATES'!C$6:D$105,2,0)=0,$E$3,VLOOKUP(E192,'HOURLY RATES'!C$6:D$105,2,0))</f>
        <v>54</v>
      </c>
      <c r="N192" s="58">
        <f t="shared" ref="N192" si="278">M192*L192</f>
        <v>22881.852000000003</v>
      </c>
      <c r="O192" s="61">
        <v>0.4</v>
      </c>
      <c r="P192" s="61">
        <f t="shared" si="274"/>
        <v>8474.76</v>
      </c>
      <c r="Q192" s="62">
        <f t="shared" si="275"/>
        <v>31356.612000000001</v>
      </c>
      <c r="R192" s="155"/>
      <c r="S192" s="131">
        <f>((((N192*(1+$D$7))+(P192*(1+$D$5+$D$6)))*(1+$D$8)))/I192</f>
        <v>1.83094632</v>
      </c>
      <c r="T192" s="130">
        <f t="shared" si="276"/>
        <v>38792.076587208001</v>
      </c>
    </row>
    <row r="193" spans="1:20" s="7" customFormat="1" ht="31.2" x14ac:dyDescent="0.25">
      <c r="A193" s="152">
        <f>IF(J193&lt;&gt;"",1+MAX($A$18:A192),"")</f>
        <v>91</v>
      </c>
      <c r="B193" s="50"/>
      <c r="C193" s="50"/>
      <c r="D193" s="100" t="s">
        <v>35</v>
      </c>
      <c r="E193" s="178" t="s">
        <v>104</v>
      </c>
      <c r="F193" s="175" t="s">
        <v>759</v>
      </c>
      <c r="G193" s="51">
        <f>464*6</f>
        <v>2784</v>
      </c>
      <c r="H193" s="52">
        <f>IF(VLOOKUP(J193,'HOURLY RATES'!B$116:C$124,2,0)=0,$J$3,VLOOKUP(J193,'HOURLY RATES'!B$116:C$124,2,0))</f>
        <v>0.05</v>
      </c>
      <c r="I193" s="53">
        <f t="shared" ref="I193" si="279">(G193*(1+H193))</f>
        <v>2923.2000000000003</v>
      </c>
      <c r="J193" s="99" t="s">
        <v>224</v>
      </c>
      <c r="K193" s="153">
        <v>0.02</v>
      </c>
      <c r="L193" s="60">
        <f t="shared" ref="L193" si="280">K193*I193</f>
        <v>58.464000000000006</v>
      </c>
      <c r="M193" s="58">
        <f>IF(VLOOKUP(E193,'HOURLY RATES'!C$6:D$105,2,0)=0,$E$3,VLOOKUP(E193,'HOURLY RATES'!C$6:D$105,2,0))</f>
        <v>54</v>
      </c>
      <c r="N193" s="58">
        <f t="shared" ref="N193" si="281">M193*L193</f>
        <v>3157.0560000000005</v>
      </c>
      <c r="O193" s="61">
        <v>0.4</v>
      </c>
      <c r="P193" s="61">
        <f t="shared" ref="P193" si="282">O193*I193</f>
        <v>1169.2800000000002</v>
      </c>
      <c r="Q193" s="62">
        <f t="shared" ref="Q193" si="283">P193+N193</f>
        <v>4326.3360000000011</v>
      </c>
      <c r="R193" s="155"/>
      <c r="S193" s="131">
        <f>((((N193*(1+$D$7))+(P193*(1+$D$5+$D$6)))*(1+$D$8)))/I193</f>
        <v>1.8309463199999996</v>
      </c>
      <c r="T193" s="130">
        <f t="shared" ref="T193" si="284">S193*I193</f>
        <v>5352.2222826239995</v>
      </c>
    </row>
    <row r="194" spans="1:20" s="7" customFormat="1" x14ac:dyDescent="0.25">
      <c r="A194" s="152"/>
      <c r="B194" s="50"/>
      <c r="C194" s="63"/>
      <c r="D194" s="100"/>
      <c r="E194" s="178"/>
      <c r="F194" s="103"/>
      <c r="G194" s="51"/>
      <c r="H194" s="52"/>
      <c r="I194" s="53"/>
      <c r="J194" s="99"/>
      <c r="K194" s="153"/>
      <c r="L194" s="60"/>
      <c r="M194" s="58"/>
      <c r="N194" s="58"/>
      <c r="O194" s="61"/>
      <c r="P194" s="61"/>
      <c r="Q194" s="62"/>
      <c r="R194" s="155"/>
      <c r="S194" s="131"/>
      <c r="T194" s="130"/>
    </row>
    <row r="195" spans="1:20" s="7" customFormat="1" x14ac:dyDescent="0.25">
      <c r="A195" s="152" t="str">
        <f>IF(J195&lt;&gt;"",1+MAX($A$18:A192),"")</f>
        <v/>
      </c>
      <c r="B195" s="50"/>
      <c r="C195" s="63"/>
      <c r="D195" s="100"/>
      <c r="E195" s="178"/>
      <c r="F195" s="172" t="s">
        <v>723</v>
      </c>
      <c r="G195" s="51"/>
      <c r="H195" s="52"/>
      <c r="I195" s="53"/>
      <c r="J195" s="99"/>
      <c r="K195" s="153"/>
      <c r="L195" s="60"/>
      <c r="M195" s="58"/>
      <c r="N195" s="58"/>
      <c r="O195" s="61"/>
      <c r="P195" s="61"/>
      <c r="Q195" s="62"/>
      <c r="R195" s="155"/>
      <c r="S195" s="131"/>
      <c r="T195" s="130"/>
    </row>
    <row r="196" spans="1:20" s="7" customFormat="1" ht="31.2" x14ac:dyDescent="0.25">
      <c r="A196" s="152">
        <f>IF(J196&lt;&gt;"",1+MAX($A$18:A195),"")</f>
        <v>92</v>
      </c>
      <c r="B196" s="50"/>
      <c r="C196" s="50"/>
      <c r="D196" s="100" t="s">
        <v>35</v>
      </c>
      <c r="E196" s="178" t="s">
        <v>104</v>
      </c>
      <c r="F196" s="175" t="s">
        <v>804</v>
      </c>
      <c r="G196" s="51">
        <f>14*6</f>
        <v>84</v>
      </c>
      <c r="H196" s="52">
        <f>IF(VLOOKUP(J196,'HOURLY RATES'!B$116:C$124,2,0)=0,$J$3,VLOOKUP(J196,'HOURLY RATES'!B$116:C$124,2,0))</f>
        <v>0</v>
      </c>
      <c r="I196" s="53">
        <f t="shared" ref="I196:I198" si="285">(G196*(1+H196))</f>
        <v>84</v>
      </c>
      <c r="J196" s="99" t="s">
        <v>225</v>
      </c>
      <c r="K196" s="153">
        <v>1.23</v>
      </c>
      <c r="L196" s="60">
        <f t="shared" ref="L196" si="286">K196*I196</f>
        <v>103.32</v>
      </c>
      <c r="M196" s="58">
        <f>IF(VLOOKUP(E196,'HOURLY RATES'!C$6:D$105,2,0)=0,$E$3,VLOOKUP(E196,'HOURLY RATES'!C$6:D$105,2,0))</f>
        <v>54</v>
      </c>
      <c r="N196" s="58">
        <f t="shared" ref="N196" si="287">M196*L196</f>
        <v>5579.28</v>
      </c>
      <c r="O196" s="61">
        <v>28</v>
      </c>
      <c r="P196" s="61">
        <f t="shared" ref="P196:P198" si="288">O196*I196</f>
        <v>2352</v>
      </c>
      <c r="Q196" s="62">
        <f t="shared" ref="Q196:Q198" si="289">P196+N196</f>
        <v>7931.28</v>
      </c>
      <c r="R196" s="155"/>
      <c r="S196" s="131">
        <f>((((N196*(1+$D$7))+(P196*(1+$D$5+$D$6)))*(1+$D$8)))/I196</f>
        <v>116.98500239999997</v>
      </c>
      <c r="T196" s="130">
        <f t="shared" ref="T196:T198" si="290">S196*I196</f>
        <v>9826.7402015999978</v>
      </c>
    </row>
    <row r="197" spans="1:20" s="7" customFormat="1" ht="31.2" x14ac:dyDescent="0.25">
      <c r="A197" s="152">
        <f>IF(J197&lt;&gt;"",1+MAX($A$18:A196),"")</f>
        <v>93</v>
      </c>
      <c r="B197" s="50"/>
      <c r="C197" s="50"/>
      <c r="D197" s="100" t="s">
        <v>35</v>
      </c>
      <c r="E197" s="178" t="s">
        <v>104</v>
      </c>
      <c r="F197" s="175" t="s">
        <v>805</v>
      </c>
      <c r="G197" s="51">
        <f>237*6</f>
        <v>1422</v>
      </c>
      <c r="H197" s="52">
        <f>IF(VLOOKUP(J197,'HOURLY RATES'!B$116:C$124,2,0)=0,$J$3,VLOOKUP(J197,'HOURLY RATES'!B$116:C$124,2,0))</f>
        <v>0.05</v>
      </c>
      <c r="I197" s="53">
        <f t="shared" si="285"/>
        <v>1493.1000000000001</v>
      </c>
      <c r="J197" s="99" t="s">
        <v>226</v>
      </c>
      <c r="K197" s="153">
        <v>1.7999999999999999E-2</v>
      </c>
      <c r="L197" s="60">
        <f t="shared" ref="L197:L198" si="291">K197*I197</f>
        <v>26.875800000000002</v>
      </c>
      <c r="M197" s="58">
        <f>IF(VLOOKUP(E197,'HOURLY RATES'!C$6:D$105,2,0)=0,$E$3,VLOOKUP(E197,'HOURLY RATES'!C$6:D$105,2,0))</f>
        <v>54</v>
      </c>
      <c r="N197" s="58">
        <f t="shared" ref="N197:N198" si="292">M197*L197</f>
        <v>1451.2932000000001</v>
      </c>
      <c r="O197" s="61">
        <v>0.8</v>
      </c>
      <c r="P197" s="61">
        <f t="shared" si="288"/>
        <v>1194.4800000000002</v>
      </c>
      <c r="Q197" s="62">
        <f t="shared" si="289"/>
        <v>2645.7732000000005</v>
      </c>
      <c r="R197" s="155"/>
      <c r="S197" s="131">
        <f>((((N197*(1+$D$7))+(P197*(1+$D$5+$D$6)))*(1+$D$8)))/I197</f>
        <v>2.21490864</v>
      </c>
      <c r="T197" s="130">
        <f t="shared" si="290"/>
        <v>3307.0800903840004</v>
      </c>
    </row>
    <row r="198" spans="1:20" s="7" customFormat="1" ht="31.2" x14ac:dyDescent="0.25">
      <c r="A198" s="152">
        <f>IF(J198&lt;&gt;"",1+MAX($A$18:A197),"")</f>
        <v>94</v>
      </c>
      <c r="B198" s="50"/>
      <c r="C198" s="50"/>
      <c r="D198" s="100" t="s">
        <v>35</v>
      </c>
      <c r="E198" s="178" t="s">
        <v>104</v>
      </c>
      <c r="F198" s="175" t="s">
        <v>806</v>
      </c>
      <c r="G198" s="51">
        <f>473*6</f>
        <v>2838</v>
      </c>
      <c r="H198" s="52">
        <f>IF(VLOOKUP(J198,'HOURLY RATES'!B$116:C$124,2,0)=0,$J$3,VLOOKUP(J198,'HOURLY RATES'!B$116:C$124,2,0))</f>
        <v>0.05</v>
      </c>
      <c r="I198" s="53">
        <f t="shared" si="285"/>
        <v>2979.9</v>
      </c>
      <c r="J198" s="99" t="s">
        <v>226</v>
      </c>
      <c r="K198" s="153">
        <v>1.7999999999999999E-2</v>
      </c>
      <c r="L198" s="60">
        <f t="shared" si="291"/>
        <v>53.638199999999998</v>
      </c>
      <c r="M198" s="58">
        <f>IF(VLOOKUP(E198,'HOURLY RATES'!C$6:D$105,2,0)=0,$E$3,VLOOKUP(E198,'HOURLY RATES'!C$6:D$105,2,0))</f>
        <v>54</v>
      </c>
      <c r="N198" s="58">
        <f t="shared" si="292"/>
        <v>2896.4627999999998</v>
      </c>
      <c r="O198" s="61">
        <v>0.8</v>
      </c>
      <c r="P198" s="61">
        <f t="shared" si="288"/>
        <v>2383.92</v>
      </c>
      <c r="Q198" s="62">
        <f t="shared" si="289"/>
        <v>5280.3827999999994</v>
      </c>
      <c r="R198" s="155"/>
      <c r="S198" s="131">
        <f>((((N198*(1+$D$7))+(P198*(1+$D$5+$D$6)))*(1+$D$8)))/I198</f>
        <v>2.21490864</v>
      </c>
      <c r="T198" s="130">
        <f t="shared" si="290"/>
        <v>6600.2062563360005</v>
      </c>
    </row>
    <row r="199" spans="1:20" s="7" customFormat="1" x14ac:dyDescent="0.25">
      <c r="A199" s="152"/>
      <c r="B199" s="50"/>
      <c r="C199" s="63"/>
      <c r="D199" s="100"/>
      <c r="E199" s="178"/>
      <c r="F199" s="103"/>
      <c r="G199" s="51"/>
      <c r="H199" s="52"/>
      <c r="I199" s="53"/>
      <c r="J199" s="99"/>
      <c r="K199" s="153"/>
      <c r="L199" s="60"/>
      <c r="M199" s="58"/>
      <c r="N199" s="58"/>
      <c r="O199" s="61"/>
      <c r="P199" s="61"/>
      <c r="Q199" s="62"/>
      <c r="R199" s="155"/>
      <c r="S199" s="131"/>
      <c r="T199" s="130"/>
    </row>
    <row r="200" spans="1:20" s="7" customFormat="1" x14ac:dyDescent="0.25">
      <c r="A200" s="152">
        <f>IF(J200&lt;&gt;"",1+MAX($A$18:A198),"")</f>
        <v>95</v>
      </c>
      <c r="B200" s="50"/>
      <c r="C200" s="63"/>
      <c r="D200" s="100"/>
      <c r="E200" s="178"/>
      <c r="F200" s="177" t="s">
        <v>756</v>
      </c>
      <c r="G200" s="108">
        <v>2</v>
      </c>
      <c r="H200" s="52"/>
      <c r="I200" s="53"/>
      <c r="J200" s="99" t="s">
        <v>225</v>
      </c>
      <c r="K200" s="153"/>
      <c r="L200" s="60"/>
      <c r="M200" s="58"/>
      <c r="N200" s="58"/>
      <c r="O200" s="61"/>
      <c r="P200" s="61"/>
      <c r="Q200" s="62"/>
      <c r="R200" s="155"/>
      <c r="S200" s="131"/>
      <c r="T200" s="130"/>
    </row>
    <row r="201" spans="1:20" s="7" customFormat="1" x14ac:dyDescent="0.25">
      <c r="A201" s="152" t="str">
        <f>IF(J201&lt;&gt;"",1+MAX($A$18:A200),"")</f>
        <v/>
      </c>
      <c r="B201" s="50"/>
      <c r="C201" s="63"/>
      <c r="D201" s="100"/>
      <c r="E201" s="178"/>
      <c r="F201" s="172" t="s">
        <v>722</v>
      </c>
      <c r="G201" s="51"/>
      <c r="H201" s="52"/>
      <c r="I201" s="53"/>
      <c r="J201" s="99"/>
      <c r="K201" s="153"/>
      <c r="L201" s="60"/>
      <c r="M201" s="58"/>
      <c r="N201" s="58"/>
      <c r="O201" s="61"/>
      <c r="P201" s="61"/>
      <c r="Q201" s="62"/>
      <c r="R201" s="155"/>
      <c r="S201" s="131"/>
      <c r="T201" s="130"/>
    </row>
    <row r="202" spans="1:20" s="7" customFormat="1" ht="31.2" x14ac:dyDescent="0.25">
      <c r="A202" s="152">
        <f>IF(J202&lt;&gt;"",1+MAX($A$18:A201),"")</f>
        <v>96</v>
      </c>
      <c r="B202" s="50"/>
      <c r="C202" s="50"/>
      <c r="D202" s="100" t="s">
        <v>35</v>
      </c>
      <c r="E202" s="178" t="s">
        <v>104</v>
      </c>
      <c r="F202" s="175" t="s">
        <v>758</v>
      </c>
      <c r="G202" s="51">
        <f>1383*2</f>
        <v>2766</v>
      </c>
      <c r="H202" s="52">
        <f>IF(VLOOKUP(J202,'HOURLY RATES'!B$116:C$124,2,0)=0,$J$3,VLOOKUP(J202,'HOURLY RATES'!B$116:C$124,2,0))</f>
        <v>0.05</v>
      </c>
      <c r="I202" s="53">
        <f t="shared" ref="I202" si="293">(G202*(1+H202))</f>
        <v>2904.3</v>
      </c>
      <c r="J202" s="99" t="s">
        <v>224</v>
      </c>
      <c r="K202" s="153">
        <v>2.1999999999999999E-2</v>
      </c>
      <c r="L202" s="60">
        <f t="shared" ref="L202" si="294">K202*I202</f>
        <v>63.894599999999997</v>
      </c>
      <c r="M202" s="58">
        <f>IF(VLOOKUP(E202,'HOURLY RATES'!C$6:D$105,2,0)=0,$E$3,VLOOKUP(E202,'HOURLY RATES'!C$6:D$105,2,0))</f>
        <v>54</v>
      </c>
      <c r="N202" s="58">
        <f t="shared" ref="N202" si="295">M202*L202</f>
        <v>3450.3083999999999</v>
      </c>
      <c r="O202" s="61">
        <v>0.4</v>
      </c>
      <c r="P202" s="61">
        <f t="shared" ref="P202" si="296">O202*I202</f>
        <v>1161.72</v>
      </c>
      <c r="Q202" s="62">
        <f t="shared" ref="Q202" si="297">P202+N202</f>
        <v>4612.0284000000001</v>
      </c>
      <c r="R202" s="155"/>
      <c r="S202" s="131">
        <f>((((N202*(1+$D$7))+(P202*(1+$D$5+$D$6)))*(1+$D$8)))/I202</f>
        <v>1.9624903199999992</v>
      </c>
      <c r="T202" s="130">
        <f t="shared" ref="T202" si="298">S202*I202</f>
        <v>5699.6606363759984</v>
      </c>
    </row>
    <row r="203" spans="1:20" s="7" customFormat="1" x14ac:dyDescent="0.25">
      <c r="A203" s="152"/>
      <c r="B203" s="50"/>
      <c r="C203" s="63"/>
      <c r="D203" s="100"/>
      <c r="E203" s="178"/>
      <c r="F203" s="103"/>
      <c r="G203" s="51"/>
      <c r="H203" s="52"/>
      <c r="I203" s="53"/>
      <c r="J203" s="99"/>
      <c r="K203" s="153"/>
      <c r="L203" s="60"/>
      <c r="M203" s="58"/>
      <c r="N203" s="58"/>
      <c r="O203" s="61"/>
      <c r="P203" s="61"/>
      <c r="Q203" s="62"/>
      <c r="R203" s="155"/>
      <c r="S203" s="131"/>
      <c r="T203" s="130"/>
    </row>
    <row r="204" spans="1:20" s="7" customFormat="1" x14ac:dyDescent="0.25">
      <c r="A204" s="152" t="str">
        <f>IF(J204&lt;&gt;"",1+MAX($A$18:A202),"")</f>
        <v/>
      </c>
      <c r="B204" s="50"/>
      <c r="C204" s="63"/>
      <c r="D204" s="100"/>
      <c r="E204" s="178"/>
      <c r="F204" s="172" t="s">
        <v>719</v>
      </c>
      <c r="G204" s="51"/>
      <c r="H204" s="52"/>
      <c r="I204" s="53"/>
      <c r="J204" s="99"/>
      <c r="K204" s="153"/>
      <c r="L204" s="60"/>
      <c r="M204" s="58"/>
      <c r="N204" s="58"/>
      <c r="O204" s="61"/>
      <c r="P204" s="61"/>
      <c r="Q204" s="62"/>
      <c r="R204" s="155"/>
      <c r="S204" s="131"/>
      <c r="T204" s="130"/>
    </row>
    <row r="205" spans="1:20" s="7" customFormat="1" ht="31.2" x14ac:dyDescent="0.25">
      <c r="A205" s="152">
        <f>IF(J205&lt;&gt;"",1+MAX($A$18:A204),"")</f>
        <v>97</v>
      </c>
      <c r="B205" s="50"/>
      <c r="C205" s="50"/>
      <c r="D205" s="100" t="s">
        <v>35</v>
      </c>
      <c r="E205" s="178" t="s">
        <v>104</v>
      </c>
      <c r="F205" s="175" t="s">
        <v>760</v>
      </c>
      <c r="G205" s="51">
        <f>370*2</f>
        <v>740</v>
      </c>
      <c r="H205" s="52">
        <f>IF(VLOOKUP(J205,'HOURLY RATES'!B$116:C$124,2,0)=0,$J$3,VLOOKUP(J205,'HOURLY RATES'!B$116:C$124,2,0))</f>
        <v>0.05</v>
      </c>
      <c r="I205" s="53">
        <f t="shared" ref="I205:I208" si="299">(G205*(1+H205))</f>
        <v>777</v>
      </c>
      <c r="J205" s="99" t="s">
        <v>226</v>
      </c>
      <c r="K205" s="153">
        <v>1.7999999999999999E-2</v>
      </c>
      <c r="L205" s="60">
        <f t="shared" ref="L205" si="300">K205*I205</f>
        <v>13.985999999999999</v>
      </c>
      <c r="M205" s="58">
        <f>IF(VLOOKUP(E205,'HOURLY RATES'!C$6:D$105,2,0)=0,$E$3,VLOOKUP(E205,'HOURLY RATES'!C$6:D$105,2,0))</f>
        <v>54</v>
      </c>
      <c r="N205" s="58">
        <f t="shared" ref="N205" si="301">M205*L205</f>
        <v>755.24399999999991</v>
      </c>
      <c r="O205" s="61">
        <v>0.8</v>
      </c>
      <c r="P205" s="61">
        <f t="shared" ref="P205:P208" si="302">O205*I205</f>
        <v>621.6</v>
      </c>
      <c r="Q205" s="62">
        <f t="shared" ref="Q205:Q208" si="303">P205+N205</f>
        <v>1376.8440000000001</v>
      </c>
      <c r="R205" s="155"/>
      <c r="S205" s="131">
        <f>((((N205*(1+$D$7))+(P205*(1+$D$5+$D$6)))*(1+$D$8)))/I205</f>
        <v>2.2149086399999995</v>
      </c>
      <c r="T205" s="130">
        <f t="shared" ref="T205:T208" si="304">S205*I205</f>
        <v>1720.9840132799995</v>
      </c>
    </row>
    <row r="206" spans="1:20" s="7" customFormat="1" x14ac:dyDescent="0.25">
      <c r="A206" s="152"/>
      <c r="B206" s="50"/>
      <c r="C206" s="63"/>
      <c r="D206" s="100"/>
      <c r="E206" s="178"/>
      <c r="F206" s="103"/>
      <c r="G206" s="51"/>
      <c r="H206" s="52"/>
      <c r="I206" s="53"/>
      <c r="J206" s="99"/>
      <c r="K206" s="153"/>
      <c r="L206" s="60"/>
      <c r="M206" s="58"/>
      <c r="N206" s="58"/>
      <c r="O206" s="61"/>
      <c r="P206" s="61"/>
      <c r="Q206" s="62"/>
      <c r="R206" s="155"/>
      <c r="S206" s="131"/>
      <c r="T206" s="130"/>
    </row>
    <row r="207" spans="1:20" s="7" customFormat="1" x14ac:dyDescent="0.25">
      <c r="A207" s="152" t="str">
        <f>IF(J207&lt;&gt;"",1+MAX($A$18:A205),"")</f>
        <v/>
      </c>
      <c r="B207" s="50"/>
      <c r="C207" s="63"/>
      <c r="D207" s="100"/>
      <c r="E207" s="178"/>
      <c r="F207" s="172" t="s">
        <v>223</v>
      </c>
      <c r="G207" s="51"/>
      <c r="H207" s="52"/>
      <c r="I207" s="53"/>
      <c r="J207" s="99"/>
      <c r="K207" s="153"/>
      <c r="L207" s="60"/>
      <c r="M207" s="58"/>
      <c r="N207" s="58"/>
      <c r="O207" s="61"/>
      <c r="P207" s="61"/>
      <c r="Q207" s="62"/>
      <c r="R207" s="155"/>
      <c r="S207" s="131"/>
      <c r="T207" s="130"/>
    </row>
    <row r="208" spans="1:20" s="7" customFormat="1" ht="31.2" x14ac:dyDescent="0.25">
      <c r="A208" s="152">
        <f>IF(J208&lt;&gt;"",1+MAX($A$18:A207),"")</f>
        <v>98</v>
      </c>
      <c r="B208" s="50"/>
      <c r="C208" s="50"/>
      <c r="D208" s="100" t="s">
        <v>35</v>
      </c>
      <c r="E208" s="178" t="s">
        <v>104</v>
      </c>
      <c r="F208" s="175" t="s">
        <v>757</v>
      </c>
      <c r="G208" s="51">
        <f>3296*2</f>
        <v>6592</v>
      </c>
      <c r="H208" s="52">
        <f>IF(VLOOKUP(J208,'HOURLY RATES'!B$116:C$124,2,0)=0,$J$3,VLOOKUP(J208,'HOURLY RATES'!B$116:C$124,2,0))</f>
        <v>0.05</v>
      </c>
      <c r="I208" s="53">
        <f t="shared" si="299"/>
        <v>6921.6</v>
      </c>
      <c r="J208" s="99" t="s">
        <v>224</v>
      </c>
      <c r="K208" s="153">
        <v>0.02</v>
      </c>
      <c r="L208" s="60">
        <f t="shared" ref="L208" si="305">K208*I208</f>
        <v>138.43200000000002</v>
      </c>
      <c r="M208" s="58">
        <f>IF(VLOOKUP(E208,'HOURLY RATES'!C$6:D$105,2,0)=0,$E$3,VLOOKUP(E208,'HOURLY RATES'!C$6:D$105,2,0))</f>
        <v>54</v>
      </c>
      <c r="N208" s="58">
        <f t="shared" ref="N208" si="306">M208*L208</f>
        <v>7475.3280000000013</v>
      </c>
      <c r="O208" s="61">
        <v>0.4</v>
      </c>
      <c r="P208" s="61">
        <f t="shared" si="302"/>
        <v>2768.6400000000003</v>
      </c>
      <c r="Q208" s="62">
        <f t="shared" si="303"/>
        <v>10243.968000000001</v>
      </c>
      <c r="R208" s="155"/>
      <c r="S208" s="131">
        <f>((((N208*(1+$D$7))+(P208*(1+$D$5+$D$6)))*(1+$D$8)))/I208</f>
        <v>1.83094632</v>
      </c>
      <c r="T208" s="130">
        <f t="shared" si="304"/>
        <v>12673.078048512001</v>
      </c>
    </row>
    <row r="209" spans="1:22" s="7" customFormat="1" ht="31.2" x14ac:dyDescent="0.25">
      <c r="A209" s="152">
        <f>IF(J209&lt;&gt;"",1+MAX($A$18:A208),"")</f>
        <v>99</v>
      </c>
      <c r="B209" s="50"/>
      <c r="C209" s="50"/>
      <c r="D209" s="100" t="s">
        <v>35</v>
      </c>
      <c r="E209" s="178" t="s">
        <v>104</v>
      </c>
      <c r="F209" s="175" t="s">
        <v>803</v>
      </c>
      <c r="G209" s="51">
        <f>687*2</f>
        <v>1374</v>
      </c>
      <c r="H209" s="52">
        <f>IF(VLOOKUP(J209,'HOURLY RATES'!B$116:C$124,2,0)=0,$J$3,VLOOKUP(J209,'HOURLY RATES'!B$116:C$124,2,0))</f>
        <v>0.05</v>
      </c>
      <c r="I209" s="53">
        <f t="shared" ref="I209" si="307">(G209*(1+H209))</f>
        <v>1442.7</v>
      </c>
      <c r="J209" s="99" t="s">
        <v>224</v>
      </c>
      <c r="K209" s="153">
        <v>0.02</v>
      </c>
      <c r="L209" s="60">
        <f t="shared" ref="L209" si="308">K209*I209</f>
        <v>28.854000000000003</v>
      </c>
      <c r="M209" s="58">
        <f>IF(VLOOKUP(E209,'HOURLY RATES'!C$6:D$105,2,0)=0,$E$3,VLOOKUP(E209,'HOURLY RATES'!C$6:D$105,2,0))</f>
        <v>54</v>
      </c>
      <c r="N209" s="58">
        <f t="shared" ref="N209" si="309">M209*L209</f>
        <v>1558.1160000000002</v>
      </c>
      <c r="O209" s="61">
        <v>0.4</v>
      </c>
      <c r="P209" s="61">
        <f t="shared" ref="P209" si="310">O209*I209</f>
        <v>577.08000000000004</v>
      </c>
      <c r="Q209" s="62">
        <f t="shared" ref="Q209" si="311">P209+N209</f>
        <v>2135.1960000000004</v>
      </c>
      <c r="R209" s="155"/>
      <c r="S209" s="131">
        <f>((((N209*(1+$D$7))+(P209*(1+$D$5+$D$6)))*(1+$D$8)))/I209</f>
        <v>1.83094632</v>
      </c>
      <c r="T209" s="130">
        <f t="shared" ref="T209" si="312">S209*I209</f>
        <v>2641.5062558640002</v>
      </c>
    </row>
    <row r="210" spans="1:22" s="7" customFormat="1" x14ac:dyDescent="0.25">
      <c r="A210" s="152"/>
      <c r="B210" s="50"/>
      <c r="C210" s="63"/>
      <c r="D210" s="100"/>
      <c r="E210" s="178"/>
      <c r="F210" s="103"/>
      <c r="G210" s="51"/>
      <c r="H210" s="52"/>
      <c r="I210" s="53"/>
      <c r="J210" s="99"/>
      <c r="K210" s="153"/>
      <c r="L210" s="60"/>
      <c r="M210" s="58"/>
      <c r="N210" s="58"/>
      <c r="O210" s="61"/>
      <c r="P210" s="61"/>
      <c r="Q210" s="62"/>
      <c r="R210" s="155"/>
      <c r="S210" s="131"/>
      <c r="T210" s="130"/>
    </row>
    <row r="211" spans="1:22" s="7" customFormat="1" x14ac:dyDescent="0.25">
      <c r="A211" s="152" t="str">
        <f>IF(J211&lt;&gt;"",1+MAX($A$18:A208),"")</f>
        <v/>
      </c>
      <c r="B211" s="50"/>
      <c r="C211" s="63"/>
      <c r="D211" s="100"/>
      <c r="E211" s="178"/>
      <c r="F211" s="172" t="s">
        <v>723</v>
      </c>
      <c r="G211" s="51"/>
      <c r="H211" s="52"/>
      <c r="I211" s="53"/>
      <c r="J211" s="99"/>
      <c r="K211" s="153"/>
      <c r="L211" s="60"/>
      <c r="M211" s="58"/>
      <c r="N211" s="58"/>
      <c r="O211" s="61"/>
      <c r="P211" s="61"/>
      <c r="Q211" s="62"/>
      <c r="R211" s="155"/>
      <c r="S211" s="131"/>
      <c r="T211" s="130"/>
    </row>
    <row r="212" spans="1:22" s="7" customFormat="1" ht="31.2" x14ac:dyDescent="0.25">
      <c r="A212" s="152">
        <f>IF(J212&lt;&gt;"",1+MAX($A$18:A211),"")</f>
        <v>100</v>
      </c>
      <c r="B212" s="50"/>
      <c r="C212" s="50"/>
      <c r="D212" s="100" t="s">
        <v>35</v>
      </c>
      <c r="E212" s="178" t="s">
        <v>104</v>
      </c>
      <c r="F212" s="175" t="s">
        <v>804</v>
      </c>
      <c r="G212" s="51">
        <v>24</v>
      </c>
      <c r="H212" s="52">
        <f>IF(VLOOKUP(J212,'HOURLY RATES'!B$116:C$124,2,0)=0,$J$3,VLOOKUP(J212,'HOURLY RATES'!B$116:C$124,2,0))</f>
        <v>0</v>
      </c>
      <c r="I212" s="53">
        <f t="shared" ref="I212:I214" si="313">(G212*(1+H212))</f>
        <v>24</v>
      </c>
      <c r="J212" s="99" t="s">
        <v>225</v>
      </c>
      <c r="K212" s="153">
        <v>1.23</v>
      </c>
      <c r="L212" s="60">
        <f t="shared" ref="L212" si="314">K212*I212</f>
        <v>29.52</v>
      </c>
      <c r="M212" s="58">
        <f>IF(VLOOKUP(E212,'HOURLY RATES'!C$6:D$105,2,0)=0,$E$3,VLOOKUP(E212,'HOURLY RATES'!C$6:D$105,2,0))</f>
        <v>54</v>
      </c>
      <c r="N212" s="58">
        <f t="shared" ref="N212" si="315">M212*L212</f>
        <v>1594.08</v>
      </c>
      <c r="O212" s="61">
        <v>28</v>
      </c>
      <c r="P212" s="61">
        <f t="shared" ref="P212:P214" si="316">O212*I212</f>
        <v>672</v>
      </c>
      <c r="Q212" s="62">
        <f t="shared" ref="Q212:Q214" si="317">P212+N212</f>
        <v>2266.08</v>
      </c>
      <c r="R212" s="155"/>
      <c r="S212" s="131">
        <f>((((N212*(1+$D$7))+(P212*(1+$D$5+$D$6)))*(1+$D$8)))/I212</f>
        <v>116.98500239999997</v>
      </c>
      <c r="T212" s="130">
        <f t="shared" ref="T212:T214" si="318">S212*I212</f>
        <v>2807.6400575999992</v>
      </c>
    </row>
    <row r="213" spans="1:22" s="7" customFormat="1" ht="31.2" x14ac:dyDescent="0.25">
      <c r="A213" s="152">
        <f>IF(J213&lt;&gt;"",1+MAX($A$18:A212),"")</f>
        <v>101</v>
      </c>
      <c r="B213" s="50"/>
      <c r="C213" s="50"/>
      <c r="D213" s="100" t="s">
        <v>35</v>
      </c>
      <c r="E213" s="178" t="s">
        <v>104</v>
      </c>
      <c r="F213" s="175" t="s">
        <v>805</v>
      </c>
      <c r="G213" s="51">
        <f>205*2</f>
        <v>410</v>
      </c>
      <c r="H213" s="52">
        <f>IF(VLOOKUP(J213,'HOURLY RATES'!B$116:C$124,2,0)=0,$J$3,VLOOKUP(J213,'HOURLY RATES'!B$116:C$124,2,0))</f>
        <v>0.05</v>
      </c>
      <c r="I213" s="53">
        <f t="shared" si="313"/>
        <v>430.5</v>
      </c>
      <c r="J213" s="99" t="s">
        <v>226</v>
      </c>
      <c r="K213" s="153">
        <v>1.7999999999999999E-2</v>
      </c>
      <c r="L213" s="60">
        <f t="shared" ref="L213:L214" si="319">K213*I213</f>
        <v>7.7489999999999997</v>
      </c>
      <c r="M213" s="58">
        <f>IF(VLOOKUP(E213,'HOURLY RATES'!C$6:D$105,2,0)=0,$E$3,VLOOKUP(E213,'HOURLY RATES'!C$6:D$105,2,0))</f>
        <v>54</v>
      </c>
      <c r="N213" s="58">
        <f t="shared" ref="N213:N214" si="320">M213*L213</f>
        <v>418.44599999999997</v>
      </c>
      <c r="O213" s="61">
        <v>0.8</v>
      </c>
      <c r="P213" s="61">
        <f t="shared" si="316"/>
        <v>344.40000000000003</v>
      </c>
      <c r="Q213" s="62">
        <f t="shared" si="317"/>
        <v>762.846</v>
      </c>
      <c r="R213" s="155"/>
      <c r="S213" s="131">
        <f>((((N213*(1+$D$7))+(P213*(1+$D$5+$D$6)))*(1+$D$8)))/I213</f>
        <v>2.21490864</v>
      </c>
      <c r="T213" s="130">
        <f t="shared" si="318"/>
        <v>953.51816952000001</v>
      </c>
    </row>
    <row r="214" spans="1:22" s="7" customFormat="1" ht="31.2" x14ac:dyDescent="0.25">
      <c r="A214" s="152">
        <f>IF(J214&lt;&gt;"",1+MAX($A$18:A213),"")</f>
        <v>102</v>
      </c>
      <c r="B214" s="50"/>
      <c r="C214" s="50"/>
      <c r="D214" s="100" t="s">
        <v>35</v>
      </c>
      <c r="E214" s="178" t="s">
        <v>104</v>
      </c>
      <c r="F214" s="175" t="s">
        <v>806</v>
      </c>
      <c r="G214" s="51">
        <f>410*2</f>
        <v>820</v>
      </c>
      <c r="H214" s="52">
        <f>IF(VLOOKUP(J214,'HOURLY RATES'!B$116:C$124,2,0)=0,$J$3,VLOOKUP(J214,'HOURLY RATES'!B$116:C$124,2,0))</f>
        <v>0.05</v>
      </c>
      <c r="I214" s="53">
        <f t="shared" si="313"/>
        <v>861</v>
      </c>
      <c r="J214" s="99" t="s">
        <v>226</v>
      </c>
      <c r="K214" s="153">
        <v>1.7999999999999999E-2</v>
      </c>
      <c r="L214" s="60">
        <f t="shared" si="319"/>
        <v>15.497999999999999</v>
      </c>
      <c r="M214" s="58">
        <f>IF(VLOOKUP(E214,'HOURLY RATES'!C$6:D$105,2,0)=0,$E$3,VLOOKUP(E214,'HOURLY RATES'!C$6:D$105,2,0))</f>
        <v>54</v>
      </c>
      <c r="N214" s="58">
        <f t="shared" si="320"/>
        <v>836.89199999999994</v>
      </c>
      <c r="O214" s="61">
        <v>0.8</v>
      </c>
      <c r="P214" s="61">
        <f t="shared" si="316"/>
        <v>688.80000000000007</v>
      </c>
      <c r="Q214" s="62">
        <f t="shared" si="317"/>
        <v>1525.692</v>
      </c>
      <c r="R214" s="155"/>
      <c r="S214" s="131">
        <f>((((N214*(1+$D$7))+(P214*(1+$D$5+$D$6)))*(1+$D$8)))/I214</f>
        <v>2.21490864</v>
      </c>
      <c r="T214" s="130">
        <f t="shared" si="318"/>
        <v>1907.03633904</v>
      </c>
    </row>
    <row r="215" spans="1:22" s="7" customFormat="1" x14ac:dyDescent="0.25">
      <c r="A215" s="215" t="str">
        <f>IF(J215&lt;&gt;"",1+MAX($A$18:A214),"")</f>
        <v/>
      </c>
      <c r="B215" s="225"/>
      <c r="C215" s="225"/>
      <c r="D215" s="101"/>
      <c r="E215" s="226"/>
      <c r="F215" s="227"/>
      <c r="G215" s="228"/>
      <c r="H215" s="229"/>
      <c r="I215" s="230"/>
      <c r="J215" s="102"/>
      <c r="K215" s="76"/>
      <c r="L215" s="231"/>
      <c r="M215" s="73"/>
      <c r="N215" s="232"/>
      <c r="O215" s="233"/>
      <c r="P215" s="233"/>
      <c r="Q215" s="234"/>
      <c r="R215" s="155"/>
      <c r="S215" s="131"/>
      <c r="T215" s="130"/>
    </row>
    <row r="216" spans="1:22" s="7" customFormat="1" x14ac:dyDescent="0.25">
      <c r="A216" s="304" t="s">
        <v>54</v>
      </c>
      <c r="B216" s="304"/>
      <c r="C216" s="305"/>
      <c r="D216" s="306"/>
      <c r="E216" s="306"/>
      <c r="F216" s="306"/>
      <c r="G216" s="306"/>
      <c r="H216" s="306"/>
      <c r="I216" s="306"/>
      <c r="J216" s="307"/>
      <c r="K216" s="236" t="s">
        <v>228</v>
      </c>
      <c r="L216" s="237">
        <f>SUM(L18:L215)</f>
        <v>6914.9858540978994</v>
      </c>
      <c r="M216" s="235" t="s">
        <v>229</v>
      </c>
      <c r="N216" s="238">
        <f>SUM(N18:N215)</f>
        <v>373409.23612128652</v>
      </c>
      <c r="O216" s="235" t="s">
        <v>230</v>
      </c>
      <c r="P216" s="238">
        <f>SUM(P18:P215)</f>
        <v>145317.44080000001</v>
      </c>
      <c r="Q216" s="239">
        <f>SUM(Q18:Q215)</f>
        <v>518726.67692128662</v>
      </c>
      <c r="R216" s="239">
        <f>SUM(R18:R215)</f>
        <v>518726.67692128662</v>
      </c>
      <c r="S216" s="132"/>
      <c r="T216" s="133">
        <f>SUM(T18:T215)</f>
        <v>642092.59744229179</v>
      </c>
      <c r="U216" s="1"/>
      <c r="V216" s="1"/>
    </row>
    <row r="217" spans="1:22" s="7" customFormat="1" ht="16.2" thickBot="1" x14ac:dyDescent="0.3">
      <c r="A217" s="302" t="s">
        <v>55</v>
      </c>
      <c r="B217" s="303"/>
      <c r="C217" s="38"/>
      <c r="D217" s="38"/>
      <c r="E217" s="105"/>
      <c r="F217" s="39"/>
      <c r="G217" s="40"/>
      <c r="H217" s="40"/>
      <c r="I217" s="40"/>
      <c r="J217" s="38"/>
      <c r="K217" s="38"/>
      <c r="L217" s="38"/>
      <c r="M217" s="77">
        <f>D5</f>
        <v>6.9720000000000004E-2</v>
      </c>
      <c r="N217" s="78"/>
      <c r="O217" s="78"/>
      <c r="P217" s="78">
        <f>P216*M217</f>
        <v>10131.531972576002</v>
      </c>
      <c r="Q217" s="78">
        <f>P217+N217</f>
        <v>10131.531972576002</v>
      </c>
      <c r="R217" s="160">
        <f>Q217</f>
        <v>10131.531972576002</v>
      </c>
      <c r="S217" s="132"/>
      <c r="T217" s="132"/>
      <c r="U217" s="1"/>
      <c r="V217" s="1"/>
    </row>
    <row r="218" spans="1:22" s="7" customFormat="1" ht="16.8" thickTop="1" thickBot="1" x14ac:dyDescent="0.3">
      <c r="A218" s="161" t="s">
        <v>231</v>
      </c>
      <c r="B218" s="47"/>
      <c r="C218" s="41"/>
      <c r="D218" s="41"/>
      <c r="E218" s="42"/>
      <c r="F218" s="43"/>
      <c r="G218" s="44"/>
      <c r="H218" s="44"/>
      <c r="I218" s="44"/>
      <c r="J218" s="41"/>
      <c r="K218" s="41"/>
      <c r="L218" s="41"/>
      <c r="M218" s="48">
        <f>D6</f>
        <v>0.2</v>
      </c>
      <c r="N218" s="46"/>
      <c r="O218" s="46"/>
      <c r="P218" s="46">
        <f>P216*M218</f>
        <v>29063.488160000004</v>
      </c>
      <c r="Q218" s="46">
        <f>P218+N218</f>
        <v>29063.488160000004</v>
      </c>
      <c r="R218" s="162">
        <f>Q218</f>
        <v>29063.488160000004</v>
      </c>
      <c r="S218" s="132"/>
      <c r="T218" s="132"/>
      <c r="U218" s="1"/>
      <c r="V218" s="1"/>
    </row>
    <row r="219" spans="1:22" s="7" customFormat="1" ht="16.8" thickTop="1" thickBot="1" x14ac:dyDescent="0.3">
      <c r="A219" s="161" t="s">
        <v>232</v>
      </c>
      <c r="B219" s="47"/>
      <c r="C219" s="41"/>
      <c r="D219" s="41"/>
      <c r="E219" s="42"/>
      <c r="F219" s="43"/>
      <c r="G219" s="44"/>
      <c r="H219" s="44"/>
      <c r="I219" s="44"/>
      <c r="J219" s="41"/>
      <c r="K219" s="41"/>
      <c r="L219" s="41"/>
      <c r="M219" s="48">
        <f>D7</f>
        <v>0.2</v>
      </c>
      <c r="N219" s="46">
        <f>N216*M219</f>
        <v>74681.847224257304</v>
      </c>
      <c r="O219" s="46"/>
      <c r="P219" s="46"/>
      <c r="Q219" s="46">
        <f>P219+N219</f>
        <v>74681.847224257304</v>
      </c>
      <c r="R219" s="162">
        <f>Q219</f>
        <v>74681.847224257304</v>
      </c>
      <c r="S219" s="132"/>
      <c r="T219" s="132"/>
      <c r="U219" s="1"/>
      <c r="V219" s="1"/>
    </row>
    <row r="220" spans="1:22" s="7" customFormat="1" ht="16.8" thickTop="1" thickBot="1" x14ac:dyDescent="0.3">
      <c r="A220" s="300" t="s">
        <v>233</v>
      </c>
      <c r="B220" s="301"/>
      <c r="C220" s="41"/>
      <c r="D220" s="41"/>
      <c r="E220" s="42"/>
      <c r="F220" s="43"/>
      <c r="G220" s="44"/>
      <c r="H220" s="44"/>
      <c r="I220" s="44"/>
      <c r="J220" s="41"/>
      <c r="K220" s="41"/>
      <c r="L220" s="41"/>
      <c r="M220" s="45">
        <f>D8</f>
        <v>1.4999999999999999E-2</v>
      </c>
      <c r="N220" s="46">
        <f>(N216+N217+N218+N219)*M220</f>
        <v>6721.3662501831568</v>
      </c>
      <c r="O220" s="46"/>
      <c r="P220" s="46">
        <f>(P216+P217+P218+P219)*M220</f>
        <v>2767.6869139886398</v>
      </c>
      <c r="Q220" s="46">
        <f>P220+N220</f>
        <v>9489.0531641717971</v>
      </c>
      <c r="R220" s="162">
        <f>Q220</f>
        <v>9489.0531641717971</v>
      </c>
      <c r="S220" s="132"/>
      <c r="T220" s="132"/>
      <c r="U220" s="1"/>
      <c r="V220" s="1"/>
    </row>
    <row r="221" spans="1:22" s="7" customFormat="1" ht="16.2" thickTop="1" x14ac:dyDescent="0.25">
      <c r="A221" s="298" t="s">
        <v>56</v>
      </c>
      <c r="B221" s="299"/>
      <c r="C221" s="163"/>
      <c r="D221" s="163"/>
      <c r="E221" s="164"/>
      <c r="F221" s="165"/>
      <c r="G221" s="166"/>
      <c r="H221" s="166"/>
      <c r="I221" s="166"/>
      <c r="J221" s="163"/>
      <c r="K221" s="163"/>
      <c r="L221" s="163"/>
      <c r="M221" s="167"/>
      <c r="N221" s="168">
        <f>SUM(N216:N220)</f>
        <v>454812.44959572697</v>
      </c>
      <c r="O221" s="167"/>
      <c r="P221" s="168">
        <f>SUM(P216:P220)</f>
        <v>187280.14784656465</v>
      </c>
      <c r="Q221" s="168">
        <f>SUM(Q216:Q220)</f>
        <v>642092.59744229168</v>
      </c>
      <c r="R221" s="169">
        <f>SUM(R216:R220)</f>
        <v>642092.59744229168</v>
      </c>
      <c r="S221" s="132"/>
      <c r="T221" s="133">
        <f>T216</f>
        <v>642092.59744229179</v>
      </c>
      <c r="U221" s="1"/>
      <c r="V221" s="1"/>
    </row>
  </sheetData>
  <autoFilter ref="J1:J221" xr:uid="{00000000-0001-0000-0300-000000000000}"/>
  <mergeCells count="8">
    <mergeCell ref="A2:R2"/>
    <mergeCell ref="E16:F16"/>
    <mergeCell ref="B3:E3"/>
    <mergeCell ref="A221:B221"/>
    <mergeCell ref="A220:B220"/>
    <mergeCell ref="A217:B217"/>
    <mergeCell ref="A216:B216"/>
    <mergeCell ref="C216:J216"/>
  </mergeCells>
  <phoneticPr fontId="48" type="noConversion"/>
  <dataValidations count="1">
    <dataValidation type="list" allowBlank="1" showInputMessage="1" showErrorMessage="1" sqref="E63" xr:uid="{00000000-0002-0000-0300-000000000000}">
      <formula1>#REF!</formula1>
    </dataValidation>
  </dataValidations>
  <hyperlinks>
    <hyperlink ref="D3:E3" location="'COST SUMMARY'!A1" display="CLICK HERE TO GO BACK TO COST SUMMARY" xr:uid="{00000000-0004-0000-0300-000000000000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300-000001000000}">
          <x14:formula1>
            <xm:f>'HOURLY RATES'!$C$6:$C$105</xm:f>
          </x14:formula1>
          <xm:sqref>E21:E32 E60:E62 E54:E57 E47:E51 E34:E36 E39:E44 E102:E214 E65:E93</xm:sqref>
        </x14:dataValidation>
        <x14:dataValidation type="list" allowBlank="1" showInputMessage="1" showErrorMessage="1" xr:uid="{00000000-0002-0000-0300-000002000000}">
          <x14:formula1>
            <xm:f>'HOURLY RATES'!$B$116:$B$126</xm:f>
          </x14:formula1>
          <xm:sqref>J19:J93 J95:J214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818B75-0FCE-4078-958D-8D0197A116D3}">
  <sheetPr>
    <tabColor theme="5" tint="-0.499984740745262"/>
    <pageSetUpPr fitToPage="1"/>
  </sheetPr>
  <dimension ref="A1:V220"/>
  <sheetViews>
    <sheetView zoomScale="40" zoomScaleNormal="40" zoomScaleSheetLayoutView="70" workbookViewId="0">
      <pane ySplit="1" topLeftCell="A2" activePane="bottomLeft" state="frozen"/>
      <selection pane="bottomLeft" activeCell="E30" sqref="E30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Q215</f>
        <v>1143560.9192540026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P215*D5</f>
        <v>22493.881925298007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P215*D6</f>
        <v>64526.339430000022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N215*D7</f>
        <v>164185.84442080057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20921.504775451518</v>
      </c>
      <c r="F8" s="185" t="s">
        <v>181</v>
      </c>
      <c r="G8" s="120"/>
      <c r="H8" s="184"/>
      <c r="I8" s="137"/>
      <c r="J8" s="138"/>
      <c r="K8" s="142" t="s">
        <v>826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1415688.4898055526</v>
      </c>
      <c r="F9" s="95"/>
      <c r="G9" s="120"/>
      <c r="H9" s="184"/>
      <c r="I9" s="137"/>
      <c r="J9" s="143" t="s">
        <v>183</v>
      </c>
      <c r="K9" s="26">
        <v>32544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32544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88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813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80045.488868002314</v>
      </c>
      <c r="S18" s="129">
        <f>U18</f>
        <v>1063515.4303860003</v>
      </c>
      <c r="T18" s="130"/>
      <c r="U18" s="13">
        <f>SUM(Q67:Q214)</f>
        <v>1063515.4303860003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196.94730192333338</v>
      </c>
      <c r="L27" s="60">
        <f t="shared" si="3"/>
        <v>196.94730192333338</v>
      </c>
      <c r="M27" s="58">
        <f>IF(VLOOKUP(E27,'HOURLY RATES'!C$6:D$105,2,0)=0,$E$3,VLOOKUP(E27,'HOURLY RATES'!C$6:D$105,2,0))</f>
        <v>54</v>
      </c>
      <c r="N27" s="58">
        <f t="shared" si="4"/>
        <v>10635.154303860003</v>
      </c>
      <c r="O27" s="61"/>
      <c r="P27" s="61">
        <f t="shared" si="0"/>
        <v>0</v>
      </c>
      <c r="Q27" s="62">
        <f t="shared" si="5"/>
        <v>10635.154303860003</v>
      </c>
      <c r="R27" s="151"/>
      <c r="S27" s="131">
        <f t="shared" si="1"/>
        <v>12953.617942101482</v>
      </c>
      <c r="T27" s="130">
        <f t="shared" si="6"/>
        <v>12953.617942101482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113.44164590784003</v>
      </c>
      <c r="L34" s="60">
        <f t="shared" ref="L34:L36" si="8">K34*I34</f>
        <v>113.44164590784003</v>
      </c>
      <c r="M34" s="58">
        <f>IF(VLOOKUP(E34,'HOURLY RATES'!C$6:D$105,2,0)=0,$E$3,VLOOKUP(E34,'HOURLY RATES'!C$6:D$105,2,0))</f>
        <v>54</v>
      </c>
      <c r="N34" s="58">
        <f t="shared" ref="N34:N36" si="9">M34*L34</f>
        <v>6125.8488790233614</v>
      </c>
      <c r="O34" s="61"/>
      <c r="P34" s="61">
        <f t="shared" ref="P34:P36" si="10">O34*I34</f>
        <v>0</v>
      </c>
      <c r="Q34" s="62">
        <f t="shared" ref="Q34:Q36" si="11">P34+N34</f>
        <v>6125.8488790233614</v>
      </c>
      <c r="R34" s="151"/>
      <c r="S34" s="131">
        <f>((((N34*(1+$D$7))+(P34*(1+$D$5+$D$6)))*(1+$D$8)))/I34</f>
        <v>7461.2839346504534</v>
      </c>
      <c r="T34" s="130">
        <f t="shared" ref="T34:T36" si="12">S34*I34</f>
        <v>7461.2839346504534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226.58787086279506</v>
      </c>
      <c r="L36" s="60">
        <f t="shared" si="8"/>
        <v>226.58787086279506</v>
      </c>
      <c r="M36" s="58">
        <f>IF(VLOOKUP(E36,'HOURLY RATES'!C$6:D$105,2,0)=0,$E$3,VLOOKUP(E36,'HOURLY RATES'!C$6:D$105,2,0))</f>
        <v>54</v>
      </c>
      <c r="N36" s="58">
        <f t="shared" si="9"/>
        <v>12235.745026590934</v>
      </c>
      <c r="O36" s="61"/>
      <c r="P36" s="61">
        <f t="shared" si="10"/>
        <v>0</v>
      </c>
      <c r="Q36" s="62">
        <f t="shared" si="11"/>
        <v>12235.745026590934</v>
      </c>
      <c r="R36" s="151"/>
      <c r="S36" s="131">
        <f>((((N36*(1+$D$7))+(P36*(1+$D$5+$D$6)))*(1+$D$8)))/I36</f>
        <v>14903.137442387755</v>
      </c>
      <c r="T36" s="130">
        <f t="shared" si="12"/>
        <v>14903.137442387755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433.2840642313335</v>
      </c>
      <c r="L44" s="60">
        <f t="shared" si="14"/>
        <v>433.2840642313335</v>
      </c>
      <c r="M44" s="58">
        <f>IF(VLOOKUP(E44,'HOURLY RATES'!C$6:D$105,2,0)=0,$E$3,VLOOKUP(E44,'HOURLY RATES'!C$6:D$105,2,0))</f>
        <v>54</v>
      </c>
      <c r="N44" s="58">
        <f t="shared" si="15"/>
        <v>23397.339468492009</v>
      </c>
      <c r="O44" s="61"/>
      <c r="P44" s="61">
        <f t="shared" si="16"/>
        <v>0</v>
      </c>
      <c r="Q44" s="62">
        <f t="shared" si="5"/>
        <v>23397.339468492009</v>
      </c>
      <c r="R44" s="151"/>
      <c r="S44" s="131">
        <f t="shared" si="17"/>
        <v>28497.959472623264</v>
      </c>
      <c r="T44" s="130">
        <f t="shared" si="18"/>
        <v>28497.959472623264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512.0629850006668</v>
      </c>
      <c r="L65" s="60">
        <f t="shared" ref="L65" si="34">K65*I65</f>
        <v>512.0629850006668</v>
      </c>
      <c r="M65" s="58">
        <f>IF(VLOOKUP(E65,'HOURLY RATES'!C$6:D$105,2,0)=0,$E$3,VLOOKUP(E65,'HOURLY RATES'!C$6:D$105,2,0))</f>
        <v>54</v>
      </c>
      <c r="N65" s="58">
        <f t="shared" ref="N65" si="35">M65*L65</f>
        <v>27651.401190036006</v>
      </c>
      <c r="O65" s="61"/>
      <c r="P65" s="61">
        <f t="shared" ref="P65" si="36">O65*I65</f>
        <v>0</v>
      </c>
      <c r="Q65" s="62">
        <f t="shared" ref="Q65" si="37">P65+N65</f>
        <v>27651.401190036006</v>
      </c>
      <c r="R65" s="151"/>
      <c r="S65" s="131">
        <f>((((N65*(1+$D$7))+(P65*(1+$D$5+$D$6)))*(1+$D$8)))/I65</f>
        <v>33679.406649463854</v>
      </c>
      <c r="T65" s="130">
        <f>S65*I65</f>
        <v>33679.406649463854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SUM(Q68:Q213)</f>
        <v>1063515.4303860003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ht="31.2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771</v>
      </c>
      <c r="G72" s="51">
        <v>8404</v>
      </c>
      <c r="H72" s="52">
        <f>IF(VLOOKUP(J72,'HOURLY RATES'!B$116:C$124,2,0)=0,$J$3,VLOOKUP(J72,'HOURLY RATES'!B$116:C$124,2,0))</f>
        <v>0.05</v>
      </c>
      <c r="I72" s="53">
        <f t="shared" ref="I72:I74" si="38">(G72*(1+H72))</f>
        <v>8824.2000000000007</v>
      </c>
      <c r="J72" s="99" t="s">
        <v>224</v>
      </c>
      <c r="K72" s="153">
        <v>2.1999999999999999E-2</v>
      </c>
      <c r="L72" s="60">
        <f t="shared" ref="L72:L74" si="39">K72*I72</f>
        <v>194.13240000000002</v>
      </c>
      <c r="M72" s="58">
        <f>IF(VLOOKUP(E72,'HOURLY RATES'!C$6:D$105,2,0)=0,$E$3,VLOOKUP(E72,'HOURLY RATES'!C$6:D$105,2,0))</f>
        <v>54</v>
      </c>
      <c r="N72" s="58">
        <f t="shared" ref="N72:N74" si="40">M72*L72</f>
        <v>10483.149600000001</v>
      </c>
      <c r="O72" s="61">
        <v>0.4</v>
      </c>
      <c r="P72" s="61">
        <f t="shared" ref="P72:P74" si="41">O72*I72</f>
        <v>3529.6800000000003</v>
      </c>
      <c r="Q72" s="62">
        <f t="shared" ref="Q72:Q74" si="42">P72+N72</f>
        <v>14012.829600000001</v>
      </c>
      <c r="R72" s="155"/>
      <c r="S72" s="131">
        <f t="shared" ref="S72:S74" si="43">((((N72*(1+$D$7))+(P72*(1+$D$5+$D$6)))*(1+$D$8)))/I72</f>
        <v>1.9624903199999995</v>
      </c>
      <c r="T72" s="130">
        <f t="shared" ref="T72:T74" si="44">S72*I72</f>
        <v>17317.407081743997</v>
      </c>
    </row>
    <row r="73" spans="1:20" s="7" customFormat="1" ht="31.2" x14ac:dyDescent="0.25">
      <c r="A73" s="152">
        <f>IF(J73&lt;&gt;"",1+MAX($A$18:A72),"")</f>
        <v>35</v>
      </c>
      <c r="B73" s="50"/>
      <c r="C73" s="50"/>
      <c r="D73" s="100" t="s">
        <v>35</v>
      </c>
      <c r="E73" s="178" t="s">
        <v>104</v>
      </c>
      <c r="F73" s="175" t="s">
        <v>774</v>
      </c>
      <c r="G73" s="51">
        <v>473</v>
      </c>
      <c r="H73" s="52">
        <f>IF(VLOOKUP(J73,'HOURLY RATES'!B$116:C$124,2,0)=0,$J$3,VLOOKUP(J73,'HOURLY RATES'!B$116:C$124,2,0))</f>
        <v>0.05</v>
      </c>
      <c r="I73" s="53">
        <f t="shared" si="38"/>
        <v>496.65000000000003</v>
      </c>
      <c r="J73" s="99" t="s">
        <v>224</v>
      </c>
      <c r="K73" s="153">
        <v>2.1999999999999999E-2</v>
      </c>
      <c r="L73" s="60">
        <f t="shared" si="39"/>
        <v>10.926299999999999</v>
      </c>
      <c r="M73" s="58">
        <f>IF(VLOOKUP(E73,'HOURLY RATES'!C$6:D$105,2,0)=0,$E$3,VLOOKUP(E73,'HOURLY RATES'!C$6:D$105,2,0))</f>
        <v>54</v>
      </c>
      <c r="N73" s="58">
        <f t="shared" si="40"/>
        <v>590.02019999999993</v>
      </c>
      <c r="O73" s="61">
        <v>0.4</v>
      </c>
      <c r="P73" s="61">
        <f t="shared" si="41"/>
        <v>198.66000000000003</v>
      </c>
      <c r="Q73" s="62">
        <f t="shared" si="42"/>
        <v>788.68020000000001</v>
      </c>
      <c r="R73" s="155"/>
      <c r="S73" s="131">
        <f t="shared" si="43"/>
        <v>1.9624903199999992</v>
      </c>
      <c r="T73" s="130">
        <f t="shared" si="44"/>
        <v>974.67081742799974</v>
      </c>
    </row>
    <row r="74" spans="1:20" s="7" customFormat="1" x14ac:dyDescent="0.25">
      <c r="A74" s="152">
        <f>IF(J74&lt;&gt;"",1+MAX($A$18:A73),"")</f>
        <v>36</v>
      </c>
      <c r="B74" s="50"/>
      <c r="C74" s="50"/>
      <c r="D74" s="100" t="s">
        <v>35</v>
      </c>
      <c r="E74" s="178" t="s">
        <v>104</v>
      </c>
      <c r="F74" s="175" t="s">
        <v>749</v>
      </c>
      <c r="G74" s="51">
        <v>2524</v>
      </c>
      <c r="H74" s="52">
        <f>IF(VLOOKUP(J74,'HOURLY RATES'!B$116:C$124,2,0)=0,$J$3,VLOOKUP(J74,'HOURLY RATES'!B$116:C$124,2,0))</f>
        <v>0.05</v>
      </c>
      <c r="I74" s="53">
        <f t="shared" si="38"/>
        <v>2650.2000000000003</v>
      </c>
      <c r="J74" s="99" t="s">
        <v>224</v>
      </c>
      <c r="K74" s="153">
        <v>2.1999999999999999E-2</v>
      </c>
      <c r="L74" s="60">
        <f t="shared" si="39"/>
        <v>58.304400000000001</v>
      </c>
      <c r="M74" s="58">
        <f>IF(VLOOKUP(E74,'HOURLY RATES'!C$6:D$105,2,0)=0,$E$3,VLOOKUP(E74,'HOURLY RATES'!C$6:D$105,2,0))</f>
        <v>54</v>
      </c>
      <c r="N74" s="58">
        <f t="shared" si="40"/>
        <v>3148.4376000000002</v>
      </c>
      <c r="O74" s="61">
        <v>0.8</v>
      </c>
      <c r="P74" s="61">
        <f t="shared" si="41"/>
        <v>2120.1600000000003</v>
      </c>
      <c r="Q74" s="62">
        <f t="shared" si="42"/>
        <v>5268.597600000001</v>
      </c>
      <c r="R74" s="155"/>
      <c r="S74" s="131">
        <f t="shared" si="43"/>
        <v>2.4779966399999998</v>
      </c>
      <c r="T74" s="130">
        <f t="shared" si="44"/>
        <v>6567.1866953279996</v>
      </c>
    </row>
    <row r="75" spans="1:20" s="7" customFormat="1" x14ac:dyDescent="0.25">
      <c r="A75" s="152" t="str">
        <f>IF(J75&lt;&gt;"",1+MAX($A$18:A72),"")</f>
        <v/>
      </c>
      <c r="B75" s="50"/>
      <c r="C75" s="63"/>
      <c r="D75" s="100"/>
      <c r="E75" s="178"/>
      <c r="F75" s="103" t="s">
        <v>222</v>
      </c>
      <c r="G75" s="51"/>
      <c r="H75" s="52"/>
      <c r="I75" s="53"/>
      <c r="J75" s="99"/>
      <c r="K75" s="153"/>
      <c r="L75" s="60"/>
      <c r="M75" s="58"/>
      <c r="N75" s="58"/>
      <c r="O75" s="61"/>
      <c r="P75" s="61"/>
      <c r="Q75" s="62"/>
      <c r="R75" s="155"/>
      <c r="S75" s="131"/>
      <c r="T75" s="130"/>
    </row>
    <row r="76" spans="1:20" s="7" customFormat="1" x14ac:dyDescent="0.25">
      <c r="A76" s="152" t="str">
        <f>IF(J76&lt;&gt;"",1+MAX($A$18:A75),"")</f>
        <v/>
      </c>
      <c r="B76" s="50"/>
      <c r="C76" s="63"/>
      <c r="D76" s="100"/>
      <c r="E76" s="178"/>
      <c r="F76" s="172" t="s">
        <v>719</v>
      </c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ht="31.2" x14ac:dyDescent="0.25">
      <c r="A77" s="152">
        <f>IF(J77&lt;&gt;"",1+MAX($A$18:A76),"")</f>
        <v>37</v>
      </c>
      <c r="B77" s="50"/>
      <c r="C77" s="50"/>
      <c r="D77" s="100" t="s">
        <v>35</v>
      </c>
      <c r="E77" s="178" t="s">
        <v>104</v>
      </c>
      <c r="F77" s="175" t="s">
        <v>778</v>
      </c>
      <c r="G77" s="51">
        <v>2496.5100000000002</v>
      </c>
      <c r="H77" s="52">
        <f>IF(VLOOKUP(J77,'HOURLY RATES'!B$116:C$124,2,0)=0,$J$3,VLOOKUP(J77,'HOURLY RATES'!B$116:C$124,2,0))</f>
        <v>0.05</v>
      </c>
      <c r="I77" s="53">
        <f t="shared" ref="I77" si="45">(G77*(1+H77))</f>
        <v>2621.3355000000001</v>
      </c>
      <c r="J77" s="99" t="s">
        <v>226</v>
      </c>
      <c r="K77" s="153">
        <v>1.7999999999999999E-2</v>
      </c>
      <c r="L77" s="60">
        <f t="shared" ref="L77" si="46">K77*I77</f>
        <v>47.184038999999999</v>
      </c>
      <c r="M77" s="58">
        <f>IF(VLOOKUP(E77,'HOURLY RATES'!C$6:D$105,2,0)=0,$E$3,VLOOKUP(E77,'HOURLY RATES'!C$6:D$105,2,0))</f>
        <v>54</v>
      </c>
      <c r="N77" s="58">
        <f t="shared" ref="N77" si="47">M77*L77</f>
        <v>2547.9381060000001</v>
      </c>
      <c r="O77" s="61">
        <v>0.8</v>
      </c>
      <c r="P77" s="61">
        <f t="shared" ref="P77" si="48">O77*I77</f>
        <v>2097.0684000000001</v>
      </c>
      <c r="Q77" s="62">
        <f t="shared" ref="Q77" si="49">P77+N77</f>
        <v>4645.0065059999997</v>
      </c>
      <c r="R77" s="155"/>
      <c r="S77" s="131">
        <f>((((N77*(1+$D$7))+(P77*(1+$D$5+$D$6)))*(1+$D$8)))/I77</f>
        <v>2.21490864</v>
      </c>
      <c r="T77" s="130">
        <f t="shared" ref="T77" si="50">S77*I77</f>
        <v>5806.0186472887199</v>
      </c>
    </row>
    <row r="78" spans="1:20" s="7" customFormat="1" x14ac:dyDescent="0.25">
      <c r="A78" s="152"/>
      <c r="B78" s="50"/>
      <c r="C78" s="63"/>
      <c r="D78" s="100"/>
      <c r="E78" s="178"/>
      <c r="F78" s="103"/>
      <c r="G78" s="51"/>
      <c r="H78" s="52"/>
      <c r="I78" s="53"/>
      <c r="J78" s="99"/>
      <c r="K78" s="153"/>
      <c r="L78" s="60"/>
      <c r="M78" s="58"/>
      <c r="N78" s="58"/>
      <c r="O78" s="61"/>
      <c r="P78" s="61"/>
      <c r="Q78" s="62"/>
      <c r="R78" s="155"/>
      <c r="S78" s="131"/>
      <c r="T78" s="130"/>
    </row>
    <row r="79" spans="1:20" s="7" customFormat="1" x14ac:dyDescent="0.25">
      <c r="A79" s="152" t="str">
        <f>IF(J79&lt;&gt;"",1+MAX($A$18:A76),"")</f>
        <v/>
      </c>
      <c r="B79" s="50"/>
      <c r="C79" s="63"/>
      <c r="D79" s="100"/>
      <c r="E79" s="178"/>
      <c r="F79" s="172" t="s">
        <v>223</v>
      </c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ht="31.2" x14ac:dyDescent="0.25">
      <c r="A80" s="152">
        <f>IF(J80&lt;&gt;"",1+MAX($A$18:A79),"")</f>
        <v>38</v>
      </c>
      <c r="B80" s="50"/>
      <c r="C80" s="50"/>
      <c r="D80" s="100" t="s">
        <v>35</v>
      </c>
      <c r="E80" s="178" t="s">
        <v>104</v>
      </c>
      <c r="F80" s="175" t="s">
        <v>769</v>
      </c>
      <c r="G80" s="51">
        <v>23169</v>
      </c>
      <c r="H80" s="52">
        <f>IF(VLOOKUP(J80,'HOURLY RATES'!B$116:C$124,2,0)=0,$J$3,VLOOKUP(J80,'HOURLY RATES'!B$116:C$124,2,0))</f>
        <v>0.05</v>
      </c>
      <c r="I80" s="53">
        <f t="shared" ref="I80:I82" si="51">(G80*(1+H80))</f>
        <v>24327.45</v>
      </c>
      <c r="J80" s="99" t="s">
        <v>224</v>
      </c>
      <c r="K80" s="153">
        <v>0.02</v>
      </c>
      <c r="L80" s="60">
        <f t="shared" ref="L80:L82" si="52">K80*I80</f>
        <v>486.54900000000004</v>
      </c>
      <c r="M80" s="58">
        <f>IF(VLOOKUP(E80,'HOURLY RATES'!C$6:D$105,2,0)=0,$E$3,VLOOKUP(E80,'HOURLY RATES'!C$6:D$105,2,0))</f>
        <v>54</v>
      </c>
      <c r="N80" s="58">
        <f t="shared" ref="N80:N82" si="53">M80*L80</f>
        <v>26273.646000000001</v>
      </c>
      <c r="O80" s="61">
        <v>0.4</v>
      </c>
      <c r="P80" s="61">
        <f t="shared" ref="P80:P82" si="54">O80*I80</f>
        <v>9730.9800000000014</v>
      </c>
      <c r="Q80" s="62">
        <f t="shared" ref="Q80:Q82" si="55">P80+N80</f>
        <v>36004.626000000004</v>
      </c>
      <c r="R80" s="155"/>
      <c r="S80" s="131">
        <f t="shared" ref="S80:S82" si="56">((((N80*(1+$D$7))+(P80*(1+$D$5+$D$6)))*(1+$D$8)))/I80</f>
        <v>1.8309463199999998</v>
      </c>
      <c r="T80" s="130">
        <f t="shared" ref="T80:T82" si="57">S80*I80</f>
        <v>44542.255052483997</v>
      </c>
    </row>
    <row r="81" spans="1:20" s="7" customFormat="1" ht="31.2" x14ac:dyDescent="0.25">
      <c r="A81" s="152">
        <f>IF(J81&lt;&gt;"",1+MAX($A$18:A80),"")</f>
        <v>39</v>
      </c>
      <c r="B81" s="50"/>
      <c r="C81" s="50"/>
      <c r="D81" s="100" t="s">
        <v>35</v>
      </c>
      <c r="E81" s="178" t="s">
        <v>104</v>
      </c>
      <c r="F81" s="175" t="s">
        <v>800</v>
      </c>
      <c r="G81" s="51">
        <v>105</v>
      </c>
      <c r="H81" s="52">
        <f>IF(VLOOKUP(J81,'HOURLY RATES'!B$116:C$124,2,0)=0,$J$3,VLOOKUP(J81,'HOURLY RATES'!B$116:C$124,2,0))</f>
        <v>0.05</v>
      </c>
      <c r="I81" s="53">
        <f t="shared" si="51"/>
        <v>110.25</v>
      </c>
      <c r="J81" s="99" t="s">
        <v>224</v>
      </c>
      <c r="K81" s="153">
        <v>0.02</v>
      </c>
      <c r="L81" s="60">
        <f t="shared" si="52"/>
        <v>2.2050000000000001</v>
      </c>
      <c r="M81" s="58">
        <f>IF(VLOOKUP(E81,'HOURLY RATES'!C$6:D$105,2,0)=0,$E$3,VLOOKUP(E81,'HOURLY RATES'!C$6:D$105,2,0))</f>
        <v>54</v>
      </c>
      <c r="N81" s="58">
        <f t="shared" si="53"/>
        <v>119.07000000000001</v>
      </c>
      <c r="O81" s="61">
        <v>0.4</v>
      </c>
      <c r="P81" s="61">
        <f t="shared" si="54"/>
        <v>44.1</v>
      </c>
      <c r="Q81" s="62">
        <f t="shared" si="55"/>
        <v>163.17000000000002</v>
      </c>
      <c r="R81" s="155"/>
      <c r="S81" s="131">
        <f t="shared" si="56"/>
        <v>1.8309463199999998</v>
      </c>
      <c r="T81" s="130">
        <f t="shared" si="57"/>
        <v>201.86183177999999</v>
      </c>
    </row>
    <row r="82" spans="1:20" s="7" customFormat="1" ht="31.2" x14ac:dyDescent="0.25">
      <c r="A82" s="152">
        <f>IF(J82&lt;&gt;"",1+MAX($A$18:A80),"")</f>
        <v>39</v>
      </c>
      <c r="B82" s="50"/>
      <c r="C82" s="50"/>
      <c r="D82" s="100" t="s">
        <v>35</v>
      </c>
      <c r="E82" s="178" t="s">
        <v>104</v>
      </c>
      <c r="F82" s="175" t="s">
        <v>768</v>
      </c>
      <c r="G82" s="51">
        <v>8342</v>
      </c>
      <c r="H82" s="52">
        <f>IF(VLOOKUP(J82,'HOURLY RATES'!B$116:C$124,2,0)=0,$J$3,VLOOKUP(J82,'HOURLY RATES'!B$116:C$124,2,0))</f>
        <v>0.05</v>
      </c>
      <c r="I82" s="53">
        <f t="shared" si="51"/>
        <v>8759.1</v>
      </c>
      <c r="J82" s="99" t="s">
        <v>224</v>
      </c>
      <c r="K82" s="153">
        <v>0.02</v>
      </c>
      <c r="L82" s="60">
        <f t="shared" si="52"/>
        <v>175.18200000000002</v>
      </c>
      <c r="M82" s="58">
        <f>IF(VLOOKUP(E82,'HOURLY RATES'!C$6:D$105,2,0)=0,$E$3,VLOOKUP(E82,'HOURLY RATES'!C$6:D$105,2,0))</f>
        <v>54</v>
      </c>
      <c r="N82" s="58">
        <f t="shared" si="53"/>
        <v>9459.8280000000013</v>
      </c>
      <c r="O82" s="61">
        <v>0.4</v>
      </c>
      <c r="P82" s="61">
        <f t="shared" si="54"/>
        <v>3503.6400000000003</v>
      </c>
      <c r="Q82" s="62">
        <f t="shared" si="55"/>
        <v>12963.468000000001</v>
      </c>
      <c r="R82" s="155"/>
      <c r="S82" s="131">
        <f t="shared" si="56"/>
        <v>1.83094632</v>
      </c>
      <c r="T82" s="130">
        <f t="shared" si="57"/>
        <v>16037.441911512</v>
      </c>
    </row>
    <row r="83" spans="1:20" s="7" customFormat="1" x14ac:dyDescent="0.25">
      <c r="A83" s="152"/>
      <c r="B83" s="50"/>
      <c r="C83" s="63"/>
      <c r="D83" s="100"/>
      <c r="E83" s="178"/>
      <c r="F83" s="103"/>
      <c r="G83" s="51"/>
      <c r="H83" s="52"/>
      <c r="I83" s="53"/>
      <c r="J83" s="99"/>
      <c r="K83" s="153"/>
      <c r="L83" s="60"/>
      <c r="M83" s="58"/>
      <c r="N83" s="58"/>
      <c r="O83" s="61"/>
      <c r="P83" s="61"/>
      <c r="Q83" s="62"/>
      <c r="R83" s="155"/>
      <c r="S83" s="131"/>
      <c r="T83" s="130"/>
    </row>
    <row r="84" spans="1:20" s="7" customFormat="1" x14ac:dyDescent="0.25">
      <c r="A84" s="152" t="str">
        <f>IF(J84&lt;&gt;"",1+MAX($A$18:A82),"")</f>
        <v/>
      </c>
      <c r="B84" s="50"/>
      <c r="C84" s="63"/>
      <c r="D84" s="100"/>
      <c r="E84" s="178"/>
      <c r="F84" s="172" t="s">
        <v>227</v>
      </c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>
        <f>IF(J85&lt;&gt;"",1+MAX($A$18:A84),"")</f>
        <v>40</v>
      </c>
      <c r="B85" s="50"/>
      <c r="C85" s="50"/>
      <c r="D85" s="100" t="s">
        <v>35</v>
      </c>
      <c r="E85" s="178" t="s">
        <v>104</v>
      </c>
      <c r="F85" s="175" t="s">
        <v>748</v>
      </c>
      <c r="G85" s="51">
        <v>62.75</v>
      </c>
      <c r="H85" s="52">
        <f>IF(VLOOKUP(J85,'HOURLY RATES'!B$116:C$124,2,0)=0,$J$3,VLOOKUP(J85,'HOURLY RATES'!B$116:C$124,2,0))</f>
        <v>0.05</v>
      </c>
      <c r="I85" s="53">
        <f t="shared" ref="I85:I86" si="58">(G85*(1+H85))</f>
        <v>65.887500000000003</v>
      </c>
      <c r="J85" s="99" t="s">
        <v>226</v>
      </c>
      <c r="K85" s="153">
        <v>4.3999999999999997E-2</v>
      </c>
      <c r="L85" s="60">
        <f t="shared" ref="L85:L86" si="59">K85*I85</f>
        <v>2.8990499999999999</v>
      </c>
      <c r="M85" s="58">
        <f>IF(VLOOKUP(E85,'HOURLY RATES'!C$6:D$105,2,0)=0,$E$3,VLOOKUP(E85,'HOURLY RATES'!C$6:D$105,2,0))</f>
        <v>54</v>
      </c>
      <c r="N85" s="58">
        <f t="shared" ref="N85:N86" si="60">M85*L85</f>
        <v>156.5487</v>
      </c>
      <c r="O85" s="61">
        <v>1.5</v>
      </c>
      <c r="P85" s="61">
        <f t="shared" ref="P85:P86" si="61">O85*I85</f>
        <v>98.831250000000011</v>
      </c>
      <c r="Q85" s="62">
        <f t="shared" ref="Q85:Q86" si="62">P85+N85</f>
        <v>255.37995000000001</v>
      </c>
      <c r="R85" s="155"/>
      <c r="S85" s="131">
        <f>((((N85*(1+$D$7))+(P85*(1+$D$5+$D$6)))*(1+$D$8)))/I85</f>
        <v>4.8271166999999995</v>
      </c>
      <c r="T85" s="130">
        <f t="shared" ref="T85:T86" si="63">S85*I85</f>
        <v>318.04665157124998</v>
      </c>
    </row>
    <row r="86" spans="1:20" s="7" customFormat="1" x14ac:dyDescent="0.25">
      <c r="A86" s="152">
        <f>IF(J86&lt;&gt;"",1+MAX($A$18:A84),"")</f>
        <v>40</v>
      </c>
      <c r="B86" s="50"/>
      <c r="C86" s="50"/>
      <c r="D86" s="100" t="s">
        <v>35</v>
      </c>
      <c r="E86" s="178" t="s">
        <v>104</v>
      </c>
      <c r="F86" s="175" t="s">
        <v>721</v>
      </c>
      <c r="G86" s="51">
        <v>63.26</v>
      </c>
      <c r="H86" s="52">
        <f>IF(VLOOKUP(J86,'HOURLY RATES'!B$116:C$124,2,0)=0,$J$3,VLOOKUP(J86,'HOURLY RATES'!B$116:C$124,2,0))</f>
        <v>0.05</v>
      </c>
      <c r="I86" s="53">
        <f t="shared" si="58"/>
        <v>66.423000000000002</v>
      </c>
      <c r="J86" s="99" t="s">
        <v>226</v>
      </c>
      <c r="K86" s="153">
        <v>0.215</v>
      </c>
      <c r="L86" s="60">
        <f t="shared" si="59"/>
        <v>14.280945000000001</v>
      </c>
      <c r="M86" s="58">
        <f>IF(VLOOKUP(E86,'HOURLY RATES'!C$6:D$105,2,0)=0,$E$3,VLOOKUP(E86,'HOURLY RATES'!C$6:D$105,2,0))</f>
        <v>54</v>
      </c>
      <c r="N86" s="58">
        <f t="shared" si="60"/>
        <v>771.17103000000009</v>
      </c>
      <c r="O86" s="61">
        <v>2.5</v>
      </c>
      <c r="P86" s="61">
        <f t="shared" si="61"/>
        <v>166.0575</v>
      </c>
      <c r="Q86" s="62">
        <f t="shared" si="62"/>
        <v>937.22853000000009</v>
      </c>
      <c r="R86" s="155"/>
      <c r="S86" s="131">
        <f>((((N86*(1+$D$7))+(P86*(1+$D$5+$D$6)))*(1+$D$8)))/I86</f>
        <v>17.362894499999999</v>
      </c>
      <c r="T86" s="130">
        <f t="shared" si="63"/>
        <v>1153.2955413735001</v>
      </c>
    </row>
    <row r="87" spans="1:20" s="7" customFormat="1" x14ac:dyDescent="0.25">
      <c r="A87" s="152"/>
      <c r="B87" s="50"/>
      <c r="C87" s="63"/>
      <c r="D87" s="100"/>
      <c r="E87" s="178"/>
      <c r="F87" s="103"/>
      <c r="G87" s="51"/>
      <c r="H87" s="52"/>
      <c r="I87" s="53"/>
      <c r="J87" s="99"/>
      <c r="K87" s="153"/>
      <c r="L87" s="60"/>
      <c r="M87" s="58"/>
      <c r="N87" s="58"/>
      <c r="O87" s="61"/>
      <c r="P87" s="61"/>
      <c r="Q87" s="62"/>
      <c r="R87" s="155"/>
      <c r="S87" s="131"/>
      <c r="T87" s="130"/>
    </row>
    <row r="88" spans="1:20" s="7" customFormat="1" x14ac:dyDescent="0.25">
      <c r="A88" s="152" t="str">
        <f>IF(J88&lt;&gt;"",1+MAX($A$18:A85),"")</f>
        <v/>
      </c>
      <c r="B88" s="50"/>
      <c r="C88" s="63"/>
      <c r="D88" s="100"/>
      <c r="E88" s="178"/>
      <c r="F88" s="172" t="s">
        <v>723</v>
      </c>
      <c r="G88" s="51"/>
      <c r="H88" s="52"/>
      <c r="I88" s="53"/>
      <c r="J88" s="99"/>
      <c r="K88" s="153"/>
      <c r="L88" s="60"/>
      <c r="M88" s="58"/>
      <c r="N88" s="58"/>
      <c r="O88" s="61"/>
      <c r="P88" s="61"/>
      <c r="Q88" s="62"/>
      <c r="R88" s="155"/>
      <c r="S88" s="131"/>
      <c r="T88" s="130"/>
    </row>
    <row r="89" spans="1:20" s="7" customFormat="1" ht="31.2" x14ac:dyDescent="0.25">
      <c r="A89" s="152">
        <f>IF(J89&lt;&gt;"",1+MAX($A$18:A88),"")</f>
        <v>41</v>
      </c>
      <c r="B89" s="50"/>
      <c r="C89" s="50"/>
      <c r="D89" s="100" t="s">
        <v>35</v>
      </c>
      <c r="E89" s="178" t="s">
        <v>104</v>
      </c>
      <c r="F89" s="175" t="s">
        <v>804</v>
      </c>
      <c r="G89" s="51">
        <v>28</v>
      </c>
      <c r="H89" s="52">
        <f>IF(VLOOKUP(J89,'HOURLY RATES'!B$116:C$124,2,0)=0,$J$3,VLOOKUP(J89,'HOURLY RATES'!B$116:C$124,2,0))</f>
        <v>0</v>
      </c>
      <c r="I89" s="53">
        <f t="shared" ref="I89:I91" si="64">(G89*(1+H89))</f>
        <v>28</v>
      </c>
      <c r="J89" s="99" t="s">
        <v>225</v>
      </c>
      <c r="K89" s="153">
        <v>1.23</v>
      </c>
      <c r="L89" s="60">
        <f t="shared" ref="L89:L91" si="65">K89*I89</f>
        <v>34.44</v>
      </c>
      <c r="M89" s="58">
        <f>IF(VLOOKUP(E89,'HOURLY RATES'!C$6:D$105,2,0)=0,$E$3,VLOOKUP(E89,'HOURLY RATES'!C$6:D$105,2,0))</f>
        <v>54</v>
      </c>
      <c r="N89" s="58">
        <f t="shared" ref="N89:N91" si="66">M89*L89</f>
        <v>1859.7599999999998</v>
      </c>
      <c r="O89" s="61">
        <v>28</v>
      </c>
      <c r="P89" s="61">
        <f t="shared" ref="P89:P91" si="67">O89*I89</f>
        <v>784</v>
      </c>
      <c r="Q89" s="62">
        <f t="shared" ref="Q89:Q91" si="68">P89+N89</f>
        <v>2643.7599999999998</v>
      </c>
      <c r="R89" s="155"/>
      <c r="S89" s="131">
        <f>((((N89*(1+$D$7))+(P89*(1+$D$5+$D$6)))*(1+$D$8)))/I89</f>
        <v>116.98500239999997</v>
      </c>
      <c r="T89" s="130">
        <f t="shared" ref="T89:T91" si="69">S89*I89</f>
        <v>3275.5800671999991</v>
      </c>
    </row>
    <row r="90" spans="1:20" s="7" customFormat="1" ht="31.2" x14ac:dyDescent="0.25">
      <c r="A90" s="152">
        <f>IF(J90&lt;&gt;"",1+MAX($A$18:A89),"")</f>
        <v>42</v>
      </c>
      <c r="B90" s="50"/>
      <c r="C90" s="50"/>
      <c r="D90" s="100" t="s">
        <v>35</v>
      </c>
      <c r="E90" s="178" t="s">
        <v>104</v>
      </c>
      <c r="F90" s="175" t="s">
        <v>805</v>
      </c>
      <c r="G90" s="51">
        <f>G91/2</f>
        <v>538</v>
      </c>
      <c r="H90" s="52">
        <f>IF(VLOOKUP(J90,'HOURLY RATES'!B$116:C$124,2,0)=0,$J$3,VLOOKUP(J90,'HOURLY RATES'!B$116:C$124,2,0))</f>
        <v>0.05</v>
      </c>
      <c r="I90" s="53">
        <f t="shared" si="64"/>
        <v>564.9</v>
      </c>
      <c r="J90" s="99" t="s">
        <v>226</v>
      </c>
      <c r="K90" s="153">
        <v>1.7999999999999999E-2</v>
      </c>
      <c r="L90" s="60">
        <f t="shared" si="65"/>
        <v>10.168199999999999</v>
      </c>
      <c r="M90" s="58">
        <f>IF(VLOOKUP(E90,'HOURLY RATES'!C$6:D$105,2,0)=0,$E$3,VLOOKUP(E90,'HOURLY RATES'!C$6:D$105,2,0))</f>
        <v>54</v>
      </c>
      <c r="N90" s="58">
        <f t="shared" si="66"/>
        <v>549.08279999999991</v>
      </c>
      <c r="O90" s="61">
        <v>0.8</v>
      </c>
      <c r="P90" s="61">
        <f t="shared" si="67"/>
        <v>451.92</v>
      </c>
      <c r="Q90" s="62">
        <f t="shared" si="68"/>
        <v>1001.0028</v>
      </c>
      <c r="R90" s="155"/>
      <c r="S90" s="131">
        <f>((((N90*(1+$D$7))+(P90*(1+$D$5+$D$6)))*(1+$D$8)))/I90</f>
        <v>2.2149086399999991</v>
      </c>
      <c r="T90" s="130">
        <f t="shared" si="69"/>
        <v>1251.2018907359995</v>
      </c>
    </row>
    <row r="91" spans="1:20" s="7" customFormat="1" ht="31.2" x14ac:dyDescent="0.25">
      <c r="A91" s="152">
        <f>IF(J91&lt;&gt;"",1+MAX($A$18:A90),"")</f>
        <v>43</v>
      </c>
      <c r="B91" s="50"/>
      <c r="C91" s="50"/>
      <c r="D91" s="100" t="s">
        <v>35</v>
      </c>
      <c r="E91" s="178" t="s">
        <v>104</v>
      </c>
      <c r="F91" s="175" t="s">
        <v>806</v>
      </c>
      <c r="G91" s="51">
        <v>1076</v>
      </c>
      <c r="H91" s="52">
        <f>IF(VLOOKUP(J91,'HOURLY RATES'!B$116:C$124,2,0)=0,$J$3,VLOOKUP(J91,'HOURLY RATES'!B$116:C$124,2,0))</f>
        <v>0.05</v>
      </c>
      <c r="I91" s="53">
        <f t="shared" si="64"/>
        <v>1129.8</v>
      </c>
      <c r="J91" s="99" t="s">
        <v>226</v>
      </c>
      <c r="K91" s="153">
        <v>1.7999999999999999E-2</v>
      </c>
      <c r="L91" s="60">
        <f t="shared" si="65"/>
        <v>20.336399999999998</v>
      </c>
      <c r="M91" s="58">
        <f>IF(VLOOKUP(E91,'HOURLY RATES'!C$6:D$105,2,0)=0,$E$3,VLOOKUP(E91,'HOURLY RATES'!C$6:D$105,2,0))</f>
        <v>54</v>
      </c>
      <c r="N91" s="58">
        <f t="shared" si="66"/>
        <v>1098.1655999999998</v>
      </c>
      <c r="O91" s="61">
        <v>0.8</v>
      </c>
      <c r="P91" s="61">
        <f t="shared" si="67"/>
        <v>903.84</v>
      </c>
      <c r="Q91" s="62">
        <f t="shared" si="68"/>
        <v>2002.0056</v>
      </c>
      <c r="R91" s="155"/>
      <c r="S91" s="131">
        <f>((((N91*(1+$D$7))+(P91*(1+$D$5+$D$6)))*(1+$D$8)))/I91</f>
        <v>2.2149086399999991</v>
      </c>
      <c r="T91" s="130">
        <f t="shared" si="69"/>
        <v>2502.4037814719991</v>
      </c>
    </row>
    <row r="92" spans="1:20" s="7" customFormat="1" x14ac:dyDescent="0.25">
      <c r="A92" s="152"/>
      <c r="B92" s="50"/>
      <c r="C92" s="63"/>
      <c r="D92" s="100"/>
      <c r="E92" s="178"/>
      <c r="F92" s="103"/>
      <c r="G92" s="51"/>
      <c r="H92" s="52"/>
      <c r="I92" s="53"/>
      <c r="J92" s="99"/>
      <c r="K92" s="153"/>
      <c r="L92" s="60"/>
      <c r="M92" s="58"/>
      <c r="N92" s="58"/>
      <c r="O92" s="61"/>
      <c r="P92" s="61"/>
      <c r="Q92" s="62"/>
      <c r="R92" s="155"/>
      <c r="S92" s="131"/>
      <c r="T92" s="130"/>
    </row>
    <row r="93" spans="1:20" s="7" customFormat="1" x14ac:dyDescent="0.25">
      <c r="A93" s="152" t="str">
        <f>IF(J93&lt;&gt;"",1+MAX($A$18:A92),"")</f>
        <v/>
      </c>
      <c r="B93" s="109"/>
      <c r="C93" s="110"/>
      <c r="D93" s="100"/>
      <c r="E93" s="179"/>
      <c r="F93" s="172" t="s">
        <v>725</v>
      </c>
      <c r="G93" s="112"/>
      <c r="H93" s="113"/>
      <c r="I93" s="114"/>
      <c r="J93" s="99"/>
      <c r="K93" s="153"/>
      <c r="L93" s="156"/>
      <c r="M93" s="157"/>
      <c r="N93" s="157"/>
      <c r="O93" s="158"/>
      <c r="P93" s="158"/>
      <c r="Q93" s="159"/>
      <c r="R93" s="155"/>
      <c r="S93" s="131"/>
      <c r="T93" s="130"/>
    </row>
    <row r="94" spans="1:20" s="7" customFormat="1" ht="46.8" x14ac:dyDescent="0.25">
      <c r="A94" s="152">
        <f>IF(J94&lt;&gt;"",1+MAX($A$18:A92),"")</f>
        <v>44</v>
      </c>
      <c r="B94" s="109"/>
      <c r="C94" s="109"/>
      <c r="D94" s="100" t="s">
        <v>35</v>
      </c>
      <c r="E94" s="179" t="s">
        <v>86</v>
      </c>
      <c r="F94" s="176" t="s">
        <v>815</v>
      </c>
      <c r="G94" s="112">
        <v>8787</v>
      </c>
      <c r="H94" s="113">
        <v>0.05</v>
      </c>
      <c r="I94" s="114">
        <f t="shared" ref="I94:I100" si="70">(G94*(1+H94))</f>
        <v>9226.35</v>
      </c>
      <c r="J94" s="99" t="s">
        <v>224</v>
      </c>
      <c r="K94" s="153">
        <v>0.02</v>
      </c>
      <c r="L94" s="156">
        <f t="shared" ref="L94:L100" si="71">K94*I94</f>
        <v>184.52700000000002</v>
      </c>
      <c r="M94" s="58">
        <f>IF(VLOOKUP(E94,'HOURLY RATES'!C$6:D$105,2,0)=0,$E$3,VLOOKUP(E94,'HOURLY RATES'!C$6:D$105,2,0))</f>
        <v>54</v>
      </c>
      <c r="N94" s="157">
        <f t="shared" ref="N94:N100" si="72">M94*L94</f>
        <v>9964.4580000000005</v>
      </c>
      <c r="O94" s="158">
        <v>0.8</v>
      </c>
      <c r="P94" s="158">
        <f t="shared" ref="P94:P100" si="73">O94*I94</f>
        <v>7381.0800000000008</v>
      </c>
      <c r="Q94" s="159">
        <f t="shared" ref="Q94:Q100" si="74">P94+N94</f>
        <v>17345.538</v>
      </c>
      <c r="R94" s="155"/>
      <c r="S94" s="131">
        <f>((((N94*(1+$D$7))+(P94*(1+$D$5+$D$6)))*(1+$D$8)))/I94</f>
        <v>2.3464526399999994</v>
      </c>
      <c r="T94" s="130">
        <f t="shared" ref="T94:T100" si="75">S94*I94</f>
        <v>21649.193315063996</v>
      </c>
    </row>
    <row r="95" spans="1:20" s="7" customFormat="1" ht="46.8" x14ac:dyDescent="0.25">
      <c r="A95" s="152">
        <f>IF(J95&lt;&gt;"",1+MAX($A$18:A93),"")</f>
        <v>44</v>
      </c>
      <c r="B95" s="109"/>
      <c r="C95" s="109"/>
      <c r="D95" s="100" t="s">
        <v>35</v>
      </c>
      <c r="E95" s="179" t="s">
        <v>86</v>
      </c>
      <c r="F95" s="176" t="s">
        <v>820</v>
      </c>
      <c r="G95" s="112">
        <v>5040</v>
      </c>
      <c r="H95" s="113">
        <v>0.05</v>
      </c>
      <c r="I95" s="114">
        <f t="shared" ref="I95" si="76">(G95*(1+H95))</f>
        <v>5292</v>
      </c>
      <c r="J95" s="99" t="s">
        <v>224</v>
      </c>
      <c r="K95" s="153">
        <v>0.02</v>
      </c>
      <c r="L95" s="156">
        <f t="shared" ref="L95" si="77">K95*I95</f>
        <v>105.84</v>
      </c>
      <c r="M95" s="58">
        <f>IF(VLOOKUP(E95,'HOURLY RATES'!C$6:D$105,2,0)=0,$E$3,VLOOKUP(E95,'HOURLY RATES'!C$6:D$105,2,0))</f>
        <v>54</v>
      </c>
      <c r="N95" s="157">
        <f t="shared" ref="N95" si="78">M95*L95</f>
        <v>5715.3600000000006</v>
      </c>
      <c r="O95" s="158">
        <v>0.8</v>
      </c>
      <c r="P95" s="158">
        <f t="shared" ref="P95" si="79">O95*I95</f>
        <v>4233.6000000000004</v>
      </c>
      <c r="Q95" s="159">
        <f t="shared" ref="Q95" si="80">P95+N95</f>
        <v>9948.9600000000009</v>
      </c>
      <c r="R95" s="155"/>
      <c r="S95" s="131">
        <f>((((N95*(1+$D$7))+(P95*(1+$D$5+$D$6)))*(1+$D$8)))/I95</f>
        <v>2.3464526400000003</v>
      </c>
      <c r="T95" s="130">
        <f t="shared" ref="T95" si="81">S95*I95</f>
        <v>12417.427370880001</v>
      </c>
    </row>
    <row r="96" spans="1:20" s="7" customFormat="1" ht="46.8" x14ac:dyDescent="0.25">
      <c r="A96" s="152">
        <f>IF(J96&lt;&gt;"",1+MAX($A$18:A93),"")</f>
        <v>44</v>
      </c>
      <c r="B96" s="109"/>
      <c r="C96" s="109"/>
      <c r="D96" s="100" t="s">
        <v>35</v>
      </c>
      <c r="E96" s="179" t="s">
        <v>86</v>
      </c>
      <c r="F96" s="176" t="s">
        <v>816</v>
      </c>
      <c r="G96" s="112">
        <v>1280</v>
      </c>
      <c r="H96" s="113">
        <v>0.05</v>
      </c>
      <c r="I96" s="114">
        <f t="shared" si="70"/>
        <v>1344</v>
      </c>
      <c r="J96" s="99" t="s">
        <v>224</v>
      </c>
      <c r="K96" s="153">
        <v>0.02</v>
      </c>
      <c r="L96" s="156">
        <f t="shared" si="71"/>
        <v>26.88</v>
      </c>
      <c r="M96" s="58">
        <f>IF(VLOOKUP(E96,'HOURLY RATES'!C$6:D$105,2,0)=0,$E$3,VLOOKUP(E96,'HOURLY RATES'!C$6:D$105,2,0))</f>
        <v>54</v>
      </c>
      <c r="N96" s="157">
        <f t="shared" si="72"/>
        <v>1451.52</v>
      </c>
      <c r="O96" s="158">
        <v>0.8</v>
      </c>
      <c r="P96" s="158">
        <f t="shared" si="73"/>
        <v>1075.2</v>
      </c>
      <c r="Q96" s="159">
        <f t="shared" si="74"/>
        <v>2526.7200000000003</v>
      </c>
      <c r="R96" s="155"/>
      <c r="S96" s="131">
        <f>((((N96*(1+$D$7))+(P96*(1+$D$5+$D$6)))*(1+$D$8)))/I96</f>
        <v>2.3464526399999999</v>
      </c>
      <c r="T96" s="130">
        <f t="shared" si="75"/>
        <v>3153.6323481599998</v>
      </c>
    </row>
    <row r="97" spans="1:20" s="7" customFormat="1" ht="46.8" x14ac:dyDescent="0.25">
      <c r="A97" s="152">
        <f>IF(J97&lt;&gt;"",1+MAX($A$18:A96),"")</f>
        <v>45</v>
      </c>
      <c r="B97" s="109"/>
      <c r="C97" s="109"/>
      <c r="D97" s="100" t="s">
        <v>35</v>
      </c>
      <c r="E97" s="179" t="s">
        <v>86</v>
      </c>
      <c r="F97" s="176" t="s">
        <v>817</v>
      </c>
      <c r="G97" s="112">
        <v>1527</v>
      </c>
      <c r="H97" s="113">
        <v>0.05</v>
      </c>
      <c r="I97" s="114">
        <f t="shared" si="70"/>
        <v>1603.3500000000001</v>
      </c>
      <c r="J97" s="99" t="s">
        <v>224</v>
      </c>
      <c r="K97" s="153">
        <v>0.02</v>
      </c>
      <c r="L97" s="156">
        <f t="shared" si="71"/>
        <v>32.067</v>
      </c>
      <c r="M97" s="58">
        <f>IF(VLOOKUP(E97,'HOURLY RATES'!C$6:D$105,2,0)=0,$E$3,VLOOKUP(E97,'HOURLY RATES'!C$6:D$105,2,0))</f>
        <v>54</v>
      </c>
      <c r="N97" s="157">
        <f t="shared" si="72"/>
        <v>1731.6179999999999</v>
      </c>
      <c r="O97" s="158">
        <v>0.8</v>
      </c>
      <c r="P97" s="158">
        <f t="shared" si="73"/>
        <v>1282.6800000000003</v>
      </c>
      <c r="Q97" s="159">
        <f t="shared" si="74"/>
        <v>3014.2980000000002</v>
      </c>
      <c r="R97" s="155"/>
      <c r="S97" s="131">
        <f t="shared" ref="S97:S100" si="82">((((N97*(1+$D$7))+(P97*(1+$D$5+$D$6)))*(1+$D$8)))/I97</f>
        <v>2.3464526399999994</v>
      </c>
      <c r="T97" s="130">
        <f t="shared" si="75"/>
        <v>3762.1848403439994</v>
      </c>
    </row>
    <row r="98" spans="1:20" s="7" customFormat="1" ht="46.8" x14ac:dyDescent="0.25">
      <c r="A98" s="152">
        <f>IF(J98&lt;&gt;"",1+MAX($A$18:A96),"")</f>
        <v>45</v>
      </c>
      <c r="B98" s="109"/>
      <c r="C98" s="109"/>
      <c r="D98" s="100" t="s">
        <v>35</v>
      </c>
      <c r="E98" s="179" t="s">
        <v>86</v>
      </c>
      <c r="F98" s="176" t="s">
        <v>818</v>
      </c>
      <c r="G98" s="112">
        <v>3160</v>
      </c>
      <c r="H98" s="113">
        <v>0.05</v>
      </c>
      <c r="I98" s="114">
        <f t="shared" si="70"/>
        <v>3318</v>
      </c>
      <c r="J98" s="99" t="s">
        <v>224</v>
      </c>
      <c r="K98" s="153">
        <v>0.02</v>
      </c>
      <c r="L98" s="156">
        <f t="shared" si="71"/>
        <v>66.36</v>
      </c>
      <c r="M98" s="58">
        <f>IF(VLOOKUP(E98,'HOURLY RATES'!C$6:D$105,2,0)=0,$E$3,VLOOKUP(E98,'HOURLY RATES'!C$6:D$105,2,0))</f>
        <v>54</v>
      </c>
      <c r="N98" s="157">
        <f t="shared" si="72"/>
        <v>3583.44</v>
      </c>
      <c r="O98" s="158">
        <v>0.8</v>
      </c>
      <c r="P98" s="158">
        <f t="shared" si="73"/>
        <v>2654.4</v>
      </c>
      <c r="Q98" s="159">
        <f t="shared" si="74"/>
        <v>6237.84</v>
      </c>
      <c r="R98" s="155"/>
      <c r="S98" s="131">
        <f>((((N98*(1+$D$7))+(P98*(1+$D$5+$D$6)))*(1+$D$8)))/I98</f>
        <v>2.3464526399999999</v>
      </c>
      <c r="T98" s="130">
        <f t="shared" si="75"/>
        <v>7785.5298595199993</v>
      </c>
    </row>
    <row r="99" spans="1:20" s="7" customFormat="1" ht="46.8" x14ac:dyDescent="0.25">
      <c r="A99" s="152">
        <f>IF(J99&lt;&gt;"",1+MAX($A$18:A96),"")</f>
        <v>45</v>
      </c>
      <c r="B99" s="109"/>
      <c r="C99" s="109"/>
      <c r="D99" s="100" t="s">
        <v>35</v>
      </c>
      <c r="E99" s="179" t="s">
        <v>86</v>
      </c>
      <c r="F99" s="176" t="s">
        <v>814</v>
      </c>
      <c r="G99" s="112">
        <f>1364+273+984</f>
        <v>2621</v>
      </c>
      <c r="H99" s="113">
        <v>0.05</v>
      </c>
      <c r="I99" s="114">
        <f t="shared" si="70"/>
        <v>2752.05</v>
      </c>
      <c r="J99" s="99" t="s">
        <v>226</v>
      </c>
      <c r="K99" s="153">
        <v>1.7999999999999999E-2</v>
      </c>
      <c r="L99" s="156">
        <f t="shared" si="71"/>
        <v>49.536900000000003</v>
      </c>
      <c r="M99" s="58">
        <f>IF(VLOOKUP(E99,'HOURLY RATES'!C$6:D$105,2,0)=0,$E$3,VLOOKUP(E99,'HOURLY RATES'!C$6:D$105,2,0))</f>
        <v>54</v>
      </c>
      <c r="N99" s="157">
        <f t="shared" si="72"/>
        <v>2674.9926</v>
      </c>
      <c r="O99" s="158">
        <v>0.8</v>
      </c>
      <c r="P99" s="158">
        <f t="shared" si="73"/>
        <v>2201.6400000000003</v>
      </c>
      <c r="Q99" s="159">
        <f t="shared" si="74"/>
        <v>4876.6326000000008</v>
      </c>
      <c r="R99" s="155"/>
      <c r="S99" s="131">
        <f t="shared" ref="S99" si="83">((((N99*(1+$D$7))+(P99*(1+$D$5+$D$6)))*(1+$D$8)))/I99</f>
        <v>2.2149086399999995</v>
      </c>
      <c r="T99" s="130">
        <f t="shared" si="75"/>
        <v>6095.5393227119994</v>
      </c>
    </row>
    <row r="100" spans="1:20" s="7" customFormat="1" ht="46.8" x14ac:dyDescent="0.25">
      <c r="A100" s="152">
        <f>IF(J100&lt;&gt;"",1+MAX($A$18:A97),"")</f>
        <v>46</v>
      </c>
      <c r="B100" s="109"/>
      <c r="C100" s="109"/>
      <c r="D100" s="100" t="s">
        <v>35</v>
      </c>
      <c r="E100" s="179" t="s">
        <v>86</v>
      </c>
      <c r="F100" s="176" t="s">
        <v>781</v>
      </c>
      <c r="G100" s="112">
        <f>1854+1387</f>
        <v>3241</v>
      </c>
      <c r="H100" s="113">
        <v>0.05</v>
      </c>
      <c r="I100" s="114">
        <f t="shared" si="70"/>
        <v>3403.05</v>
      </c>
      <c r="J100" s="99" t="s">
        <v>226</v>
      </c>
      <c r="K100" s="153">
        <v>1.7999999999999999E-2</v>
      </c>
      <c r="L100" s="156">
        <f t="shared" si="71"/>
        <v>61.254899999999999</v>
      </c>
      <c r="M100" s="58">
        <f>IF(VLOOKUP(E100,'HOURLY RATES'!C$6:D$105,2,0)=0,$E$3,VLOOKUP(E100,'HOURLY RATES'!C$6:D$105,2,0))</f>
        <v>54</v>
      </c>
      <c r="N100" s="157">
        <f t="shared" si="72"/>
        <v>3307.7646</v>
      </c>
      <c r="O100" s="158">
        <v>0.8</v>
      </c>
      <c r="P100" s="158">
        <f t="shared" si="73"/>
        <v>2722.4400000000005</v>
      </c>
      <c r="Q100" s="159">
        <f t="shared" si="74"/>
        <v>6030.2046000000009</v>
      </c>
      <c r="R100" s="155"/>
      <c r="S100" s="131">
        <f t="shared" si="82"/>
        <v>2.21490864</v>
      </c>
      <c r="T100" s="130">
        <f t="shared" si="75"/>
        <v>7537.4448473520006</v>
      </c>
    </row>
    <row r="101" spans="1:20" s="7" customFormat="1" x14ac:dyDescent="0.25">
      <c r="A101" s="152" t="str">
        <f>IF(J101&lt;&gt;"",1+MAX($A$18:A100),"")</f>
        <v/>
      </c>
      <c r="B101" s="50"/>
      <c r="C101" s="50"/>
      <c r="D101" s="100"/>
      <c r="E101" s="178"/>
      <c r="F101" s="175" t="s">
        <v>222</v>
      </c>
      <c r="G101" s="51"/>
      <c r="H101" s="52"/>
      <c r="I101" s="53"/>
      <c r="J101" s="99"/>
      <c r="K101" s="153"/>
      <c r="L101" s="60"/>
      <c r="M101" s="58"/>
      <c r="N101" s="58"/>
      <c r="O101" s="61"/>
      <c r="P101" s="61"/>
      <c r="Q101" s="62"/>
      <c r="R101" s="155"/>
      <c r="S101" s="131"/>
      <c r="T101" s="130"/>
    </row>
    <row r="102" spans="1:20" s="7" customFormat="1" ht="18" x14ac:dyDescent="0.25">
      <c r="A102" s="152" t="str">
        <f>IF(J102&lt;&gt;"",1+MAX($A$18:A101),"")</f>
        <v/>
      </c>
      <c r="B102" s="50"/>
      <c r="C102" s="63"/>
      <c r="D102" s="100"/>
      <c r="E102" s="178"/>
      <c r="F102" s="173" t="s">
        <v>720</v>
      </c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0" s="7" customFormat="1" x14ac:dyDescent="0.25">
      <c r="A103" s="152">
        <f>IF(J103&lt;&gt;"",1+MAX($A$18:A102),"")</f>
        <v>47</v>
      </c>
      <c r="B103" s="50"/>
      <c r="C103" s="63"/>
      <c r="D103" s="100"/>
      <c r="E103" s="178"/>
      <c r="F103" s="177" t="s">
        <v>762</v>
      </c>
      <c r="G103" s="108">
        <v>36</v>
      </c>
      <c r="H103" s="52"/>
      <c r="I103" s="53"/>
      <c r="J103" s="99" t="s">
        <v>225</v>
      </c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0" s="7" customFormat="1" x14ac:dyDescent="0.25">
      <c r="A104" s="152" t="str">
        <f>IF(J104&lt;&gt;"",1+MAX($A$18:A103),"")</f>
        <v/>
      </c>
      <c r="B104" s="50"/>
      <c r="C104" s="63"/>
      <c r="D104" s="100"/>
      <c r="E104" s="178"/>
      <c r="F104" s="172" t="s">
        <v>722</v>
      </c>
      <c r="G104" s="51"/>
      <c r="H104" s="52"/>
      <c r="I104" s="53"/>
      <c r="J104" s="99"/>
      <c r="K104" s="153"/>
      <c r="L104" s="60"/>
      <c r="M104" s="58"/>
      <c r="N104" s="58"/>
      <c r="O104" s="61"/>
      <c r="P104" s="61"/>
      <c r="Q104" s="62"/>
      <c r="R104" s="155"/>
      <c r="S104" s="131"/>
      <c r="T104" s="130"/>
    </row>
    <row r="105" spans="1:20" s="7" customFormat="1" ht="31.2" x14ac:dyDescent="0.25">
      <c r="A105" s="152">
        <f>IF(J105&lt;&gt;"",1+MAX($A$18:A104),"")</f>
        <v>48</v>
      </c>
      <c r="B105" s="50"/>
      <c r="C105" s="50"/>
      <c r="D105" s="100" t="s">
        <v>35</v>
      </c>
      <c r="E105" s="178" t="s">
        <v>104</v>
      </c>
      <c r="F105" s="175" t="s">
        <v>758</v>
      </c>
      <c r="G105" s="51">
        <f>796*36</f>
        <v>28656</v>
      </c>
      <c r="H105" s="52">
        <f>IF(VLOOKUP(J105,'HOURLY RATES'!B$116:C$124,2,0)=0,$J$3,VLOOKUP(J105,'HOURLY RATES'!B$116:C$124,2,0))</f>
        <v>0.05</v>
      </c>
      <c r="I105" s="53">
        <f t="shared" ref="I105" si="84">(G105*(1+H105))</f>
        <v>30088.800000000003</v>
      </c>
      <c r="J105" s="99" t="s">
        <v>224</v>
      </c>
      <c r="K105" s="153">
        <v>2.1999999999999999E-2</v>
      </c>
      <c r="L105" s="60">
        <f t="shared" ref="L105" si="85">K105*I105</f>
        <v>661.95360000000005</v>
      </c>
      <c r="M105" s="58">
        <f>IF(VLOOKUP(E105,'HOURLY RATES'!C$6:D$105,2,0)=0,$E$3,VLOOKUP(E105,'HOURLY RATES'!C$6:D$105,2,0))</f>
        <v>54</v>
      </c>
      <c r="N105" s="58">
        <f t="shared" ref="N105" si="86">M105*L105</f>
        <v>35745.494400000003</v>
      </c>
      <c r="O105" s="61">
        <v>0.4</v>
      </c>
      <c r="P105" s="61">
        <f t="shared" ref="P105" si="87">O105*I105</f>
        <v>12035.520000000002</v>
      </c>
      <c r="Q105" s="62">
        <f t="shared" ref="Q105" si="88">P105+N105</f>
        <v>47781.014400000007</v>
      </c>
      <c r="R105" s="155"/>
      <c r="S105" s="131">
        <f>((((N105*(1+$D$7))+(P105*(1+$D$5+$D$6)))*(1+$D$8)))/I105</f>
        <v>1.9624903199999997</v>
      </c>
      <c r="T105" s="130">
        <f t="shared" ref="T105" si="89">S105*I105</f>
        <v>59048.978740415994</v>
      </c>
    </row>
    <row r="106" spans="1:20" s="7" customFormat="1" x14ac:dyDescent="0.25">
      <c r="A106" s="152"/>
      <c r="B106" s="50"/>
      <c r="C106" s="63"/>
      <c r="D106" s="100"/>
      <c r="E106" s="178"/>
      <c r="F106" s="103"/>
      <c r="G106" s="51"/>
      <c r="H106" s="52"/>
      <c r="I106" s="53"/>
      <c r="J106" s="99"/>
      <c r="K106" s="153"/>
      <c r="L106" s="60"/>
      <c r="M106" s="58"/>
      <c r="N106" s="58"/>
      <c r="O106" s="61"/>
      <c r="P106" s="61"/>
      <c r="Q106" s="62"/>
      <c r="R106" s="155"/>
      <c r="S106" s="131"/>
      <c r="T106" s="130"/>
    </row>
    <row r="107" spans="1:20" s="7" customFormat="1" x14ac:dyDescent="0.25">
      <c r="A107" s="152" t="str">
        <f>IF(J107&lt;&gt;"",1+MAX($A$18:A105),"")</f>
        <v/>
      </c>
      <c r="B107" s="50"/>
      <c r="C107" s="63"/>
      <c r="D107" s="100"/>
      <c r="E107" s="178"/>
      <c r="F107" s="172" t="s">
        <v>719</v>
      </c>
      <c r="G107" s="51"/>
      <c r="H107" s="52"/>
      <c r="I107" s="53"/>
      <c r="J107" s="99"/>
      <c r="K107" s="153"/>
      <c r="L107" s="60"/>
      <c r="M107" s="58"/>
      <c r="N107" s="58"/>
      <c r="O107" s="61"/>
      <c r="P107" s="61"/>
      <c r="Q107" s="62"/>
      <c r="R107" s="155"/>
      <c r="S107" s="131"/>
      <c r="T107" s="130"/>
    </row>
    <row r="108" spans="1:20" s="7" customFormat="1" ht="31.2" x14ac:dyDescent="0.25">
      <c r="A108" s="152">
        <f>IF(J108&lt;&gt;"",1+MAX($A$18:A107),"")</f>
        <v>49</v>
      </c>
      <c r="B108" s="50"/>
      <c r="C108" s="50"/>
      <c r="D108" s="100" t="s">
        <v>35</v>
      </c>
      <c r="E108" s="178" t="s">
        <v>104</v>
      </c>
      <c r="F108" s="175" t="s">
        <v>760</v>
      </c>
      <c r="G108" s="51">
        <f>275*36</f>
        <v>9900</v>
      </c>
      <c r="H108" s="52">
        <f>IF(VLOOKUP(J108,'HOURLY RATES'!B$116:C$124,2,0)=0,$J$3,VLOOKUP(J108,'HOURLY RATES'!B$116:C$124,2,0))</f>
        <v>0.05</v>
      </c>
      <c r="I108" s="53">
        <f t="shared" ref="I108:I112" si="90">(G108*(1+H108))</f>
        <v>10395</v>
      </c>
      <c r="J108" s="99" t="s">
        <v>226</v>
      </c>
      <c r="K108" s="153">
        <v>1.7999999999999999E-2</v>
      </c>
      <c r="L108" s="60">
        <f t="shared" ref="L108" si="91">K108*I108</f>
        <v>187.10999999999999</v>
      </c>
      <c r="M108" s="58">
        <f>IF(VLOOKUP(E108,'HOURLY RATES'!C$6:D$105,2,0)=0,$E$3,VLOOKUP(E108,'HOURLY RATES'!C$6:D$105,2,0))</f>
        <v>54</v>
      </c>
      <c r="N108" s="58">
        <f t="shared" ref="N108" si="92">M108*L108</f>
        <v>10103.939999999999</v>
      </c>
      <c r="O108" s="61">
        <v>0.8</v>
      </c>
      <c r="P108" s="61">
        <f t="shared" ref="P108:P112" si="93">O108*I108</f>
        <v>8316</v>
      </c>
      <c r="Q108" s="62">
        <f t="shared" ref="Q108:Q112" si="94">P108+N108</f>
        <v>18419.939999999999</v>
      </c>
      <c r="R108" s="155"/>
      <c r="S108" s="131">
        <f>((((N108*(1+$D$7))+(P108*(1+$D$5+$D$6)))*(1+$D$8)))/I108</f>
        <v>2.2149086399999995</v>
      </c>
      <c r="T108" s="130">
        <f t="shared" ref="T108:T112" si="95">S108*I108</f>
        <v>23023.975312799994</v>
      </c>
    </row>
    <row r="109" spans="1:20" s="7" customFormat="1" x14ac:dyDescent="0.25">
      <c r="A109" s="152"/>
      <c r="B109" s="50"/>
      <c r="C109" s="63"/>
      <c r="D109" s="100"/>
      <c r="E109" s="178"/>
      <c r="F109" s="103"/>
      <c r="G109" s="51"/>
      <c r="H109" s="52"/>
      <c r="I109" s="53"/>
      <c r="J109" s="99"/>
      <c r="K109" s="153"/>
      <c r="L109" s="60"/>
      <c r="M109" s="58"/>
      <c r="N109" s="58"/>
      <c r="O109" s="61"/>
      <c r="P109" s="61"/>
      <c r="Q109" s="62"/>
      <c r="R109" s="155"/>
      <c r="S109" s="131"/>
      <c r="T109" s="130"/>
    </row>
    <row r="110" spans="1:20" s="7" customFormat="1" x14ac:dyDescent="0.25">
      <c r="A110" s="152" t="str">
        <f>IF(J110&lt;&gt;"",1+MAX($A$18:A108),"")</f>
        <v/>
      </c>
      <c r="B110" s="50"/>
      <c r="C110" s="63"/>
      <c r="D110" s="100"/>
      <c r="E110" s="178"/>
      <c r="F110" s="172" t="s">
        <v>223</v>
      </c>
      <c r="G110" s="51"/>
      <c r="H110" s="52"/>
      <c r="I110" s="53"/>
      <c r="J110" s="99"/>
      <c r="K110" s="153"/>
      <c r="L110" s="60"/>
      <c r="M110" s="58"/>
      <c r="N110" s="58"/>
      <c r="O110" s="61"/>
      <c r="P110" s="61"/>
      <c r="Q110" s="62"/>
      <c r="R110" s="155"/>
      <c r="S110" s="131"/>
      <c r="T110" s="130"/>
    </row>
    <row r="111" spans="1:20" s="7" customFormat="1" ht="31.2" x14ac:dyDescent="0.25">
      <c r="A111" s="152">
        <f>IF(J111&lt;&gt;"",1+MAX($A$18:A110),"")</f>
        <v>50</v>
      </c>
      <c r="B111" s="50"/>
      <c r="C111" s="50"/>
      <c r="D111" s="100" t="s">
        <v>35</v>
      </c>
      <c r="E111" s="178" t="s">
        <v>104</v>
      </c>
      <c r="F111" s="175" t="s">
        <v>757</v>
      </c>
      <c r="G111" s="51">
        <f>2646*36</f>
        <v>95256</v>
      </c>
      <c r="H111" s="52">
        <f>IF(VLOOKUP(J111,'HOURLY RATES'!B$116:C$124,2,0)=0,$J$3,VLOOKUP(J111,'HOURLY RATES'!B$116:C$124,2,0))</f>
        <v>0.05</v>
      </c>
      <c r="I111" s="53">
        <f t="shared" si="90"/>
        <v>100018.8</v>
      </c>
      <c r="J111" s="99" t="s">
        <v>224</v>
      </c>
      <c r="K111" s="153">
        <v>0.02</v>
      </c>
      <c r="L111" s="60">
        <f t="shared" ref="L111:L112" si="96">K111*I111</f>
        <v>2000.3760000000002</v>
      </c>
      <c r="M111" s="58">
        <f>IF(VLOOKUP(E111,'HOURLY RATES'!C$6:D$105,2,0)=0,$E$3,VLOOKUP(E111,'HOURLY RATES'!C$6:D$105,2,0))</f>
        <v>54</v>
      </c>
      <c r="N111" s="58">
        <f t="shared" ref="N111:N112" si="97">M111*L111</f>
        <v>108020.304</v>
      </c>
      <c r="O111" s="61">
        <v>0.4</v>
      </c>
      <c r="P111" s="61">
        <f t="shared" si="93"/>
        <v>40007.520000000004</v>
      </c>
      <c r="Q111" s="62">
        <f t="shared" si="94"/>
        <v>148027.82400000002</v>
      </c>
      <c r="R111" s="155"/>
      <c r="S111" s="131">
        <f>((((N111*(1+$D$7))+(P111*(1+$D$5+$D$6)))*(1+$D$8)))/I111</f>
        <v>1.8309463199999998</v>
      </c>
      <c r="T111" s="130">
        <f t="shared" si="95"/>
        <v>183129.05379081599</v>
      </c>
    </row>
    <row r="112" spans="1:20" s="7" customFormat="1" ht="31.2" x14ac:dyDescent="0.25">
      <c r="A112" s="152">
        <f>IF(J112&lt;&gt;"",1+MAX($A$18:A111),"")</f>
        <v>51</v>
      </c>
      <c r="B112" s="50"/>
      <c r="C112" s="50"/>
      <c r="D112" s="100" t="s">
        <v>35</v>
      </c>
      <c r="E112" s="178" t="s">
        <v>104</v>
      </c>
      <c r="F112" s="175" t="s">
        <v>759</v>
      </c>
      <c r="G112" s="51">
        <f>979*36</f>
        <v>35244</v>
      </c>
      <c r="H112" s="52">
        <f>IF(VLOOKUP(J112,'HOURLY RATES'!B$116:C$124,2,0)=0,$J$3,VLOOKUP(J112,'HOURLY RATES'!B$116:C$124,2,0))</f>
        <v>0.05</v>
      </c>
      <c r="I112" s="53">
        <f t="shared" si="90"/>
        <v>37006.200000000004</v>
      </c>
      <c r="J112" s="99" t="s">
        <v>224</v>
      </c>
      <c r="K112" s="153">
        <v>0.02</v>
      </c>
      <c r="L112" s="60">
        <f t="shared" si="96"/>
        <v>740.12400000000014</v>
      </c>
      <c r="M112" s="58">
        <f>IF(VLOOKUP(E112,'HOURLY RATES'!C$6:D$105,2,0)=0,$E$3,VLOOKUP(E112,'HOURLY RATES'!C$6:D$105,2,0))</f>
        <v>54</v>
      </c>
      <c r="N112" s="58">
        <f t="shared" si="97"/>
        <v>39966.696000000011</v>
      </c>
      <c r="O112" s="61">
        <v>0.4</v>
      </c>
      <c r="P112" s="61">
        <f t="shared" si="93"/>
        <v>14802.480000000003</v>
      </c>
      <c r="Q112" s="62">
        <f t="shared" si="94"/>
        <v>54769.176000000014</v>
      </c>
      <c r="R112" s="155"/>
      <c r="S112" s="131">
        <f>((((N112*(1+$D$7))+(P112*(1+$D$5+$D$6)))*(1+$D$8)))/I112</f>
        <v>1.8309463199999998</v>
      </c>
      <c r="T112" s="130">
        <f t="shared" si="95"/>
        <v>67756.365707183999</v>
      </c>
    </row>
    <row r="113" spans="1:20" s="7" customFormat="1" x14ac:dyDescent="0.25">
      <c r="A113" s="152"/>
      <c r="B113" s="50"/>
      <c r="C113" s="63"/>
      <c r="D113" s="100"/>
      <c r="E113" s="178"/>
      <c r="F113" s="103"/>
      <c r="G113" s="51"/>
      <c r="H113" s="52"/>
      <c r="I113" s="53"/>
      <c r="J113" s="99"/>
      <c r="K113" s="153"/>
      <c r="L113" s="60"/>
      <c r="M113" s="58"/>
      <c r="N113" s="58"/>
      <c r="O113" s="61"/>
      <c r="P113" s="61"/>
      <c r="Q113" s="62"/>
      <c r="R113" s="155"/>
      <c r="S113" s="131"/>
      <c r="T113" s="130"/>
    </row>
    <row r="114" spans="1:20" s="7" customFormat="1" x14ac:dyDescent="0.25">
      <c r="A114" s="152" t="str">
        <f>IF(J114&lt;&gt;"",1+MAX($A$18:A111),"")</f>
        <v/>
      </c>
      <c r="B114" s="50"/>
      <c r="C114" s="63"/>
      <c r="D114" s="100"/>
      <c r="E114" s="178"/>
      <c r="F114" s="172" t="s">
        <v>723</v>
      </c>
      <c r="G114" s="51"/>
      <c r="H114" s="52"/>
      <c r="I114" s="53"/>
      <c r="J114" s="99"/>
      <c r="K114" s="153"/>
      <c r="L114" s="60"/>
      <c r="M114" s="58"/>
      <c r="N114" s="58"/>
      <c r="O114" s="61"/>
      <c r="P114" s="61"/>
      <c r="Q114" s="62"/>
      <c r="R114" s="155"/>
      <c r="S114" s="131"/>
      <c r="T114" s="130"/>
    </row>
    <row r="115" spans="1:20" s="7" customFormat="1" ht="31.2" x14ac:dyDescent="0.25">
      <c r="A115" s="152">
        <f>IF(J115&lt;&gt;"",1+MAX($A$18:A114),"")</f>
        <v>52</v>
      </c>
      <c r="B115" s="50"/>
      <c r="C115" s="50"/>
      <c r="D115" s="100" t="s">
        <v>35</v>
      </c>
      <c r="E115" s="178" t="s">
        <v>104</v>
      </c>
      <c r="F115" s="175" t="s">
        <v>804</v>
      </c>
      <c r="G115" s="51">
        <f>9*36</f>
        <v>324</v>
      </c>
      <c r="H115" s="52">
        <f>IF(VLOOKUP(J115,'HOURLY RATES'!B$116:C$124,2,0)=0,$J$3,VLOOKUP(J115,'HOURLY RATES'!B$116:C$124,2,0))</f>
        <v>0</v>
      </c>
      <c r="I115" s="53">
        <f t="shared" ref="I115:I117" si="98">(G115*(1+H115))</f>
        <v>324</v>
      </c>
      <c r="J115" s="99" t="s">
        <v>225</v>
      </c>
      <c r="K115" s="153">
        <v>1.23</v>
      </c>
      <c r="L115" s="60">
        <f t="shared" ref="L115:L117" si="99">K115*I115</f>
        <v>398.52</v>
      </c>
      <c r="M115" s="58">
        <f>IF(VLOOKUP(E115,'HOURLY RATES'!C$6:D$105,2,0)=0,$E$3,VLOOKUP(E115,'HOURLY RATES'!C$6:D$105,2,0))</f>
        <v>54</v>
      </c>
      <c r="N115" s="58">
        <f t="shared" ref="N115:N117" si="100">M115*L115</f>
        <v>21520.079999999998</v>
      </c>
      <c r="O115" s="61">
        <v>28</v>
      </c>
      <c r="P115" s="61">
        <f t="shared" ref="P115:P117" si="101">O115*I115</f>
        <v>9072</v>
      </c>
      <c r="Q115" s="62">
        <f t="shared" ref="Q115:Q117" si="102">P115+N115</f>
        <v>30592.079999999998</v>
      </c>
      <c r="R115" s="155"/>
      <c r="S115" s="131">
        <f>((((N115*(1+$D$7))+(P115*(1+$D$5+$D$6)))*(1+$D$8)))/I115</f>
        <v>116.98500239999997</v>
      </c>
      <c r="T115" s="130">
        <f t="shared" ref="T115:T117" si="103">S115*I115</f>
        <v>37903.140777599991</v>
      </c>
    </row>
    <row r="116" spans="1:20" s="7" customFormat="1" ht="31.2" x14ac:dyDescent="0.25">
      <c r="A116" s="152">
        <f>IF(J116&lt;&gt;"",1+MAX($A$18:A115),"")</f>
        <v>53</v>
      </c>
      <c r="B116" s="50"/>
      <c r="C116" s="50"/>
      <c r="D116" s="100" t="s">
        <v>35</v>
      </c>
      <c r="E116" s="178" t="s">
        <v>104</v>
      </c>
      <c r="F116" s="175" t="s">
        <v>805</v>
      </c>
      <c r="G116" s="51">
        <f>152*36</f>
        <v>5472</v>
      </c>
      <c r="H116" s="52">
        <f>IF(VLOOKUP(J116,'HOURLY RATES'!B$116:C$124,2,0)=0,$J$3,VLOOKUP(J116,'HOURLY RATES'!B$116:C$124,2,0))</f>
        <v>0.05</v>
      </c>
      <c r="I116" s="53">
        <f t="shared" si="98"/>
        <v>5745.6</v>
      </c>
      <c r="J116" s="99" t="s">
        <v>226</v>
      </c>
      <c r="K116" s="153">
        <v>1.7999999999999999E-2</v>
      </c>
      <c r="L116" s="60">
        <f t="shared" si="99"/>
        <v>103.4208</v>
      </c>
      <c r="M116" s="58">
        <f>IF(VLOOKUP(E116,'HOURLY RATES'!C$6:D$105,2,0)=0,$E$3,VLOOKUP(E116,'HOURLY RATES'!C$6:D$105,2,0))</f>
        <v>54</v>
      </c>
      <c r="N116" s="58">
        <f t="shared" si="100"/>
        <v>5584.7232000000004</v>
      </c>
      <c r="O116" s="61">
        <v>0.8</v>
      </c>
      <c r="P116" s="61">
        <f t="shared" si="101"/>
        <v>4596.4800000000005</v>
      </c>
      <c r="Q116" s="62">
        <f t="shared" si="102"/>
        <v>10181.2032</v>
      </c>
      <c r="R116" s="155"/>
      <c r="S116" s="131">
        <f>((((N116*(1+$D$7))+(P116*(1+$D$5+$D$6)))*(1+$D$8)))/I116</f>
        <v>2.2149086399999995</v>
      </c>
      <c r="T116" s="130">
        <f t="shared" si="103"/>
        <v>12725.979081983998</v>
      </c>
    </row>
    <row r="117" spans="1:20" s="7" customFormat="1" ht="31.2" x14ac:dyDescent="0.25">
      <c r="A117" s="152">
        <f>IF(J117&lt;&gt;"",1+MAX($A$18:A116),"")</f>
        <v>54</v>
      </c>
      <c r="B117" s="50"/>
      <c r="C117" s="50"/>
      <c r="D117" s="100" t="s">
        <v>35</v>
      </c>
      <c r="E117" s="178" t="s">
        <v>104</v>
      </c>
      <c r="F117" s="175" t="s">
        <v>806</v>
      </c>
      <c r="G117" s="51">
        <f>304*36</f>
        <v>10944</v>
      </c>
      <c r="H117" s="52">
        <f>IF(VLOOKUP(J117,'HOURLY RATES'!B$116:C$124,2,0)=0,$J$3,VLOOKUP(J117,'HOURLY RATES'!B$116:C$124,2,0))</f>
        <v>0.05</v>
      </c>
      <c r="I117" s="53">
        <f t="shared" si="98"/>
        <v>11491.2</v>
      </c>
      <c r="J117" s="99" t="s">
        <v>226</v>
      </c>
      <c r="K117" s="153">
        <v>1.7999999999999999E-2</v>
      </c>
      <c r="L117" s="60">
        <f t="shared" si="99"/>
        <v>206.8416</v>
      </c>
      <c r="M117" s="58">
        <f>IF(VLOOKUP(E117,'HOURLY RATES'!C$6:D$105,2,0)=0,$E$3,VLOOKUP(E117,'HOURLY RATES'!C$6:D$105,2,0))</f>
        <v>54</v>
      </c>
      <c r="N117" s="58">
        <f t="shared" si="100"/>
        <v>11169.446400000001</v>
      </c>
      <c r="O117" s="61">
        <v>0.8</v>
      </c>
      <c r="P117" s="61">
        <f t="shared" si="101"/>
        <v>9192.9600000000009</v>
      </c>
      <c r="Q117" s="62">
        <f t="shared" si="102"/>
        <v>20362.4064</v>
      </c>
      <c r="R117" s="155"/>
      <c r="S117" s="131">
        <f>((((N117*(1+$D$7))+(P117*(1+$D$5+$D$6)))*(1+$D$8)))/I117</f>
        <v>2.2149086399999995</v>
      </c>
      <c r="T117" s="130">
        <f t="shared" si="103"/>
        <v>25451.958163967996</v>
      </c>
    </row>
    <row r="118" spans="1:20" s="7" customFormat="1" x14ac:dyDescent="0.25">
      <c r="A118" s="152"/>
      <c r="B118" s="50"/>
      <c r="C118" s="63"/>
      <c r="D118" s="100"/>
      <c r="E118" s="178"/>
      <c r="F118" s="103"/>
      <c r="G118" s="51"/>
      <c r="H118" s="52"/>
      <c r="I118" s="53"/>
      <c r="J118" s="99"/>
      <c r="K118" s="153"/>
      <c r="L118" s="60"/>
      <c r="M118" s="58"/>
      <c r="N118" s="58"/>
      <c r="O118" s="61"/>
      <c r="P118" s="61"/>
      <c r="Q118" s="62"/>
      <c r="R118" s="155"/>
      <c r="S118" s="131"/>
      <c r="T118" s="130"/>
    </row>
    <row r="119" spans="1:20" s="7" customFormat="1" x14ac:dyDescent="0.25">
      <c r="A119" s="152">
        <f>IF(J119&lt;&gt;"",1+MAX($A$18:A117),"")</f>
        <v>55</v>
      </c>
      <c r="B119" s="50"/>
      <c r="C119" s="63"/>
      <c r="D119" s="100"/>
      <c r="E119" s="178"/>
      <c r="F119" s="177" t="s">
        <v>763</v>
      </c>
      <c r="G119" s="108">
        <v>8</v>
      </c>
      <c r="H119" s="52"/>
      <c r="I119" s="53"/>
      <c r="J119" s="99" t="s">
        <v>225</v>
      </c>
      <c r="K119" s="153"/>
      <c r="L119" s="60"/>
      <c r="M119" s="58"/>
      <c r="N119" s="58"/>
      <c r="O119" s="61"/>
      <c r="P119" s="61"/>
      <c r="Q119" s="62"/>
      <c r="R119" s="155"/>
      <c r="S119" s="131"/>
      <c r="T119" s="130"/>
    </row>
    <row r="120" spans="1:20" s="7" customFormat="1" x14ac:dyDescent="0.25">
      <c r="A120" s="152" t="str">
        <f>IF(J120&lt;&gt;"",1+MAX($A$18:A119),"")</f>
        <v/>
      </c>
      <c r="B120" s="50"/>
      <c r="C120" s="63"/>
      <c r="D120" s="100"/>
      <c r="E120" s="178"/>
      <c r="F120" s="172" t="s">
        <v>722</v>
      </c>
      <c r="G120" s="51"/>
      <c r="H120" s="52"/>
      <c r="I120" s="53"/>
      <c r="J120" s="99"/>
      <c r="K120" s="153"/>
      <c r="L120" s="60"/>
      <c r="M120" s="58"/>
      <c r="N120" s="58"/>
      <c r="O120" s="61"/>
      <c r="P120" s="61"/>
      <c r="Q120" s="62"/>
      <c r="R120" s="155"/>
      <c r="S120" s="131"/>
      <c r="T120" s="130"/>
    </row>
    <row r="121" spans="1:20" s="7" customFormat="1" ht="31.2" x14ac:dyDescent="0.25">
      <c r="A121" s="152">
        <f>IF(J121&lt;&gt;"",1+MAX($A$18:A120),"")</f>
        <v>56</v>
      </c>
      <c r="B121" s="50"/>
      <c r="C121" s="50"/>
      <c r="D121" s="100" t="s">
        <v>35</v>
      </c>
      <c r="E121" s="178" t="s">
        <v>104</v>
      </c>
      <c r="F121" s="175" t="s">
        <v>758</v>
      </c>
      <c r="G121" s="51">
        <f>694*8</f>
        <v>5552</v>
      </c>
      <c r="H121" s="52">
        <f>IF(VLOOKUP(J121,'HOURLY RATES'!B$116:C$124,2,0)=0,$J$3,VLOOKUP(J121,'HOURLY RATES'!B$116:C$124,2,0))</f>
        <v>0.05</v>
      </c>
      <c r="I121" s="53">
        <f t="shared" ref="I121" si="104">(G121*(1+H121))</f>
        <v>5829.6</v>
      </c>
      <c r="J121" s="99" t="s">
        <v>224</v>
      </c>
      <c r="K121" s="153">
        <v>2.1999999999999999E-2</v>
      </c>
      <c r="L121" s="60">
        <f t="shared" ref="L121" si="105">K121*I121</f>
        <v>128.25120000000001</v>
      </c>
      <c r="M121" s="58">
        <f>IF(VLOOKUP(E121,'HOURLY RATES'!C$6:D$105,2,0)=0,$E$3,VLOOKUP(E121,'HOURLY RATES'!C$6:D$105,2,0))</f>
        <v>54</v>
      </c>
      <c r="N121" s="58">
        <f t="shared" ref="N121" si="106">M121*L121</f>
        <v>6925.564800000001</v>
      </c>
      <c r="O121" s="61">
        <v>0.4</v>
      </c>
      <c r="P121" s="61">
        <f t="shared" ref="P121" si="107">O121*I121</f>
        <v>2331.84</v>
      </c>
      <c r="Q121" s="62">
        <f t="shared" ref="Q121" si="108">P121+N121</f>
        <v>9257.4048000000003</v>
      </c>
      <c r="R121" s="155"/>
      <c r="S121" s="131">
        <f>((((N121*(1+$D$7))+(P121*(1+$D$5+$D$6)))*(1+$D$8)))/I121</f>
        <v>1.9624903199999999</v>
      </c>
      <c r="T121" s="130">
        <f t="shared" ref="T121" si="109">S121*I121</f>
        <v>11440.533569472</v>
      </c>
    </row>
    <row r="122" spans="1:20" s="7" customFormat="1" x14ac:dyDescent="0.25">
      <c r="A122" s="152"/>
      <c r="B122" s="50"/>
      <c r="C122" s="63"/>
      <c r="D122" s="100"/>
      <c r="E122" s="178"/>
      <c r="F122" s="103"/>
      <c r="G122" s="51"/>
      <c r="H122" s="52"/>
      <c r="I122" s="53"/>
      <c r="J122" s="99"/>
      <c r="K122" s="153"/>
      <c r="L122" s="60"/>
      <c r="M122" s="58"/>
      <c r="N122" s="58"/>
      <c r="O122" s="61"/>
      <c r="P122" s="61"/>
      <c r="Q122" s="62"/>
      <c r="R122" s="155"/>
      <c r="S122" s="131"/>
      <c r="T122" s="130"/>
    </row>
    <row r="123" spans="1:20" s="7" customFormat="1" x14ac:dyDescent="0.25">
      <c r="A123" s="152" t="str">
        <f>IF(J123&lt;&gt;"",1+MAX($A$18:A121),"")</f>
        <v/>
      </c>
      <c r="B123" s="50"/>
      <c r="C123" s="63"/>
      <c r="D123" s="100"/>
      <c r="E123" s="178"/>
      <c r="F123" s="172" t="s">
        <v>719</v>
      </c>
      <c r="G123" s="51"/>
      <c r="H123" s="52"/>
      <c r="I123" s="53"/>
      <c r="J123" s="99"/>
      <c r="K123" s="153"/>
      <c r="L123" s="60"/>
      <c r="M123" s="58"/>
      <c r="N123" s="58"/>
      <c r="O123" s="61"/>
      <c r="P123" s="61"/>
      <c r="Q123" s="62"/>
      <c r="R123" s="155"/>
      <c r="S123" s="131"/>
      <c r="T123" s="130"/>
    </row>
    <row r="124" spans="1:20" s="7" customFormat="1" ht="31.2" x14ac:dyDescent="0.25">
      <c r="A124" s="152">
        <f>IF(J124&lt;&gt;"",1+MAX($A$18:A123),"")</f>
        <v>57</v>
      </c>
      <c r="B124" s="50"/>
      <c r="C124" s="50"/>
      <c r="D124" s="100" t="s">
        <v>35</v>
      </c>
      <c r="E124" s="178" t="s">
        <v>104</v>
      </c>
      <c r="F124" s="175" t="s">
        <v>760</v>
      </c>
      <c r="G124" s="51">
        <f>200*8</f>
        <v>1600</v>
      </c>
      <c r="H124" s="52">
        <f>IF(VLOOKUP(J124,'HOURLY RATES'!B$116:C$124,2,0)=0,$J$3,VLOOKUP(J124,'HOURLY RATES'!B$116:C$124,2,0))</f>
        <v>0.05</v>
      </c>
      <c r="I124" s="53">
        <f t="shared" ref="I124:I128" si="110">(G124*(1+H124))</f>
        <v>1680</v>
      </c>
      <c r="J124" s="99" t="s">
        <v>226</v>
      </c>
      <c r="K124" s="153">
        <v>1.7999999999999999E-2</v>
      </c>
      <c r="L124" s="60">
        <f t="shared" ref="L124" si="111">K124*I124</f>
        <v>30.24</v>
      </c>
      <c r="M124" s="58">
        <f>IF(VLOOKUP(E124,'HOURLY RATES'!C$6:D$105,2,0)=0,$E$3,VLOOKUP(E124,'HOURLY RATES'!C$6:D$105,2,0))</f>
        <v>54</v>
      </c>
      <c r="N124" s="58">
        <f t="shared" ref="N124" si="112">M124*L124</f>
        <v>1632.9599999999998</v>
      </c>
      <c r="O124" s="61">
        <v>0.8</v>
      </c>
      <c r="P124" s="61">
        <f t="shared" ref="P124:P128" si="113">O124*I124</f>
        <v>1344</v>
      </c>
      <c r="Q124" s="62">
        <f t="shared" ref="Q124:Q128" si="114">P124+N124</f>
        <v>2976.96</v>
      </c>
      <c r="R124" s="155"/>
      <c r="S124" s="131">
        <f>((((N124*(1+$D$7))+(P124*(1+$D$5+$D$6)))*(1+$D$8)))/I124</f>
        <v>2.2149086399999995</v>
      </c>
      <c r="T124" s="130">
        <f t="shared" ref="T124:T128" si="115">S124*I124</f>
        <v>3721.0465151999992</v>
      </c>
    </row>
    <row r="125" spans="1:20" s="7" customFormat="1" x14ac:dyDescent="0.25">
      <c r="A125" s="152"/>
      <c r="B125" s="50"/>
      <c r="C125" s="63"/>
      <c r="D125" s="100"/>
      <c r="E125" s="178"/>
      <c r="F125" s="103"/>
      <c r="G125" s="51"/>
      <c r="H125" s="52"/>
      <c r="I125" s="53"/>
      <c r="J125" s="99"/>
      <c r="K125" s="153"/>
      <c r="L125" s="60"/>
      <c r="M125" s="58"/>
      <c r="N125" s="58"/>
      <c r="O125" s="61"/>
      <c r="P125" s="61"/>
      <c r="Q125" s="62"/>
      <c r="R125" s="155"/>
      <c r="S125" s="131"/>
      <c r="T125" s="130"/>
    </row>
    <row r="126" spans="1:20" s="7" customFormat="1" x14ac:dyDescent="0.25">
      <c r="A126" s="152" t="str">
        <f>IF(J126&lt;&gt;"",1+MAX($A$18:A124),"")</f>
        <v/>
      </c>
      <c r="B126" s="50"/>
      <c r="C126" s="63"/>
      <c r="D126" s="100"/>
      <c r="E126" s="178"/>
      <c r="F126" s="172" t="s">
        <v>223</v>
      </c>
      <c r="G126" s="51"/>
      <c r="H126" s="52"/>
      <c r="I126" s="53"/>
      <c r="J126" s="99"/>
      <c r="K126" s="153"/>
      <c r="L126" s="60"/>
      <c r="M126" s="58"/>
      <c r="N126" s="58"/>
      <c r="O126" s="61"/>
      <c r="P126" s="61"/>
      <c r="Q126" s="62"/>
      <c r="R126" s="155"/>
      <c r="S126" s="131"/>
      <c r="T126" s="130"/>
    </row>
    <row r="127" spans="1:20" s="7" customFormat="1" ht="31.2" x14ac:dyDescent="0.25">
      <c r="A127" s="152">
        <f>IF(J127&lt;&gt;"",1+MAX($A$18:A126),"")</f>
        <v>58</v>
      </c>
      <c r="B127" s="50"/>
      <c r="C127" s="50"/>
      <c r="D127" s="100" t="s">
        <v>35</v>
      </c>
      <c r="E127" s="178" t="s">
        <v>104</v>
      </c>
      <c r="F127" s="175" t="s">
        <v>757</v>
      </c>
      <c r="G127" s="51">
        <f>1581*8</f>
        <v>12648</v>
      </c>
      <c r="H127" s="52">
        <f>IF(VLOOKUP(J127,'HOURLY RATES'!B$116:C$124,2,0)=0,$J$3,VLOOKUP(J127,'HOURLY RATES'!B$116:C$124,2,0))</f>
        <v>0.05</v>
      </c>
      <c r="I127" s="53">
        <f t="shared" si="110"/>
        <v>13280.400000000001</v>
      </c>
      <c r="J127" s="99" t="s">
        <v>224</v>
      </c>
      <c r="K127" s="153">
        <v>0.02</v>
      </c>
      <c r="L127" s="60">
        <f t="shared" ref="L127:L128" si="116">K127*I127</f>
        <v>265.60800000000006</v>
      </c>
      <c r="M127" s="58">
        <f>IF(VLOOKUP(E127,'HOURLY RATES'!C$6:D$105,2,0)=0,$E$3,VLOOKUP(E127,'HOURLY RATES'!C$6:D$105,2,0))</f>
        <v>54</v>
      </c>
      <c r="N127" s="58">
        <f t="shared" ref="N127:N128" si="117">M127*L127</f>
        <v>14342.832000000004</v>
      </c>
      <c r="O127" s="61">
        <v>0.4</v>
      </c>
      <c r="P127" s="61">
        <f t="shared" si="113"/>
        <v>5312.1600000000008</v>
      </c>
      <c r="Q127" s="62">
        <f t="shared" si="114"/>
        <v>19654.992000000006</v>
      </c>
      <c r="R127" s="155"/>
      <c r="S127" s="131">
        <f>((((N127*(1+$D$7))+(P127*(1+$D$5+$D$6)))*(1+$D$8)))/I127</f>
        <v>1.83094632</v>
      </c>
      <c r="T127" s="130">
        <f t="shared" si="115"/>
        <v>24315.699508128004</v>
      </c>
    </row>
    <row r="128" spans="1:20" s="7" customFormat="1" ht="31.2" x14ac:dyDescent="0.25">
      <c r="A128" s="152">
        <f>IF(J128&lt;&gt;"",1+MAX($A$18:A127),"")</f>
        <v>59</v>
      </c>
      <c r="B128" s="50"/>
      <c r="C128" s="50"/>
      <c r="D128" s="100" t="s">
        <v>35</v>
      </c>
      <c r="E128" s="178" t="s">
        <v>104</v>
      </c>
      <c r="F128" s="175" t="s">
        <v>759</v>
      </c>
      <c r="G128" s="51">
        <f>187*8</f>
        <v>1496</v>
      </c>
      <c r="H128" s="52">
        <f>IF(VLOOKUP(J128,'HOURLY RATES'!B$116:C$124,2,0)=0,$J$3,VLOOKUP(J128,'HOURLY RATES'!B$116:C$124,2,0))</f>
        <v>0.05</v>
      </c>
      <c r="I128" s="53">
        <f t="shared" si="110"/>
        <v>1570.8</v>
      </c>
      <c r="J128" s="99" t="s">
        <v>224</v>
      </c>
      <c r="K128" s="153">
        <v>0.02</v>
      </c>
      <c r="L128" s="60">
        <f t="shared" si="116"/>
        <v>31.416</v>
      </c>
      <c r="M128" s="58">
        <f>IF(VLOOKUP(E128,'HOURLY RATES'!C$6:D$105,2,0)=0,$E$3,VLOOKUP(E128,'HOURLY RATES'!C$6:D$105,2,0))</f>
        <v>54</v>
      </c>
      <c r="N128" s="58">
        <f t="shared" si="117"/>
        <v>1696.4639999999999</v>
      </c>
      <c r="O128" s="61">
        <v>0.4</v>
      </c>
      <c r="P128" s="61">
        <f t="shared" si="113"/>
        <v>628.32000000000005</v>
      </c>
      <c r="Q128" s="62">
        <f t="shared" si="114"/>
        <v>2324.7840000000001</v>
      </c>
      <c r="R128" s="155"/>
      <c r="S128" s="131">
        <f>((((N128*(1+$D$7))+(P128*(1+$D$5+$D$6)))*(1+$D$8)))/I128</f>
        <v>1.8309463199999998</v>
      </c>
      <c r="T128" s="130">
        <f t="shared" si="115"/>
        <v>2876.0504794559997</v>
      </c>
    </row>
    <row r="129" spans="1:20" s="7" customFormat="1" x14ac:dyDescent="0.25">
      <c r="A129" s="152"/>
      <c r="B129" s="50"/>
      <c r="C129" s="63"/>
      <c r="D129" s="100"/>
      <c r="E129" s="178"/>
      <c r="F129" s="103"/>
      <c r="G129" s="51"/>
      <c r="H129" s="52"/>
      <c r="I129" s="53"/>
      <c r="J129" s="99"/>
      <c r="K129" s="153"/>
      <c r="L129" s="60"/>
      <c r="M129" s="58"/>
      <c r="N129" s="58"/>
      <c r="O129" s="61"/>
      <c r="P129" s="61"/>
      <c r="Q129" s="62"/>
      <c r="R129" s="155"/>
      <c r="S129" s="131"/>
      <c r="T129" s="130"/>
    </row>
    <row r="130" spans="1:20" s="7" customFormat="1" x14ac:dyDescent="0.25">
      <c r="A130" s="152" t="str">
        <f>IF(J130&lt;&gt;"",1+MAX($A$18:A127),"")</f>
        <v/>
      </c>
      <c r="B130" s="50"/>
      <c r="C130" s="63"/>
      <c r="D130" s="100"/>
      <c r="E130" s="178"/>
      <c r="F130" s="172" t="s">
        <v>723</v>
      </c>
      <c r="G130" s="51"/>
      <c r="H130" s="52"/>
      <c r="I130" s="53"/>
      <c r="J130" s="99"/>
      <c r="K130" s="153"/>
      <c r="L130" s="60"/>
      <c r="M130" s="58"/>
      <c r="N130" s="58"/>
      <c r="O130" s="61"/>
      <c r="P130" s="61"/>
      <c r="Q130" s="62"/>
      <c r="R130" s="155"/>
      <c r="S130" s="131"/>
      <c r="T130" s="130"/>
    </row>
    <row r="131" spans="1:20" s="7" customFormat="1" ht="31.2" x14ac:dyDescent="0.25">
      <c r="A131" s="152">
        <f>IF(J131&lt;&gt;"",1+MAX($A$18:A130),"")</f>
        <v>60</v>
      </c>
      <c r="B131" s="50"/>
      <c r="C131" s="50"/>
      <c r="D131" s="100" t="s">
        <v>35</v>
      </c>
      <c r="E131" s="178" t="s">
        <v>104</v>
      </c>
      <c r="F131" s="175" t="s">
        <v>804</v>
      </c>
      <c r="G131" s="51">
        <f>8*8</f>
        <v>64</v>
      </c>
      <c r="H131" s="52">
        <f>IF(VLOOKUP(J131,'HOURLY RATES'!B$116:C$124,2,0)=0,$J$3,VLOOKUP(J131,'HOURLY RATES'!B$116:C$124,2,0))</f>
        <v>0</v>
      </c>
      <c r="I131" s="53">
        <f t="shared" ref="I131:I133" si="118">(G131*(1+H131))</f>
        <v>64</v>
      </c>
      <c r="J131" s="99" t="s">
        <v>225</v>
      </c>
      <c r="K131" s="153">
        <v>1.23</v>
      </c>
      <c r="L131" s="60">
        <f t="shared" ref="L131:L133" si="119">K131*I131</f>
        <v>78.72</v>
      </c>
      <c r="M131" s="58">
        <f>IF(VLOOKUP(E131,'HOURLY RATES'!C$6:D$105,2,0)=0,$E$3,VLOOKUP(E131,'HOURLY RATES'!C$6:D$105,2,0))</f>
        <v>54</v>
      </c>
      <c r="N131" s="58">
        <f t="shared" ref="N131:N133" si="120">M131*L131</f>
        <v>4250.88</v>
      </c>
      <c r="O131" s="61">
        <v>28</v>
      </c>
      <c r="P131" s="61">
        <f t="shared" ref="P131:P133" si="121">O131*I131</f>
        <v>1792</v>
      </c>
      <c r="Q131" s="62">
        <f t="shared" ref="Q131:Q133" si="122">P131+N131</f>
        <v>6042.88</v>
      </c>
      <c r="R131" s="155"/>
      <c r="S131" s="131">
        <f>((((N131*(1+$D$7))+(P131*(1+$D$5+$D$6)))*(1+$D$8)))/I131</f>
        <v>116.98500239999998</v>
      </c>
      <c r="T131" s="130">
        <f t="shared" ref="T131:T133" si="123">S131*I131</f>
        <v>7487.040153599999</v>
      </c>
    </row>
    <row r="132" spans="1:20" s="7" customFormat="1" ht="31.2" x14ac:dyDescent="0.25">
      <c r="A132" s="152">
        <f>IF(J132&lt;&gt;"",1+MAX($A$18:A131),"")</f>
        <v>61</v>
      </c>
      <c r="B132" s="50"/>
      <c r="C132" s="50"/>
      <c r="D132" s="100" t="s">
        <v>35</v>
      </c>
      <c r="E132" s="178" t="s">
        <v>104</v>
      </c>
      <c r="F132" s="175" t="s">
        <v>805</v>
      </c>
      <c r="G132" s="51">
        <f>153*8</f>
        <v>1224</v>
      </c>
      <c r="H132" s="52">
        <f>IF(VLOOKUP(J132,'HOURLY RATES'!B$116:C$124,2,0)=0,$J$3,VLOOKUP(J132,'HOURLY RATES'!B$116:C$124,2,0))</f>
        <v>0.05</v>
      </c>
      <c r="I132" s="53">
        <f t="shared" si="118"/>
        <v>1285.2</v>
      </c>
      <c r="J132" s="99" t="s">
        <v>226</v>
      </c>
      <c r="K132" s="153">
        <v>1.7999999999999999E-2</v>
      </c>
      <c r="L132" s="60">
        <f t="shared" si="119"/>
        <v>23.133599999999998</v>
      </c>
      <c r="M132" s="58">
        <f>IF(VLOOKUP(E132,'HOURLY RATES'!C$6:D$105,2,0)=0,$E$3,VLOOKUP(E132,'HOURLY RATES'!C$6:D$105,2,0))</f>
        <v>54</v>
      </c>
      <c r="N132" s="58">
        <f t="shared" si="120"/>
        <v>1249.2143999999998</v>
      </c>
      <c r="O132" s="61">
        <v>0.8</v>
      </c>
      <c r="P132" s="61">
        <f t="shared" si="121"/>
        <v>1028.1600000000001</v>
      </c>
      <c r="Q132" s="62">
        <f t="shared" si="122"/>
        <v>2277.3743999999997</v>
      </c>
      <c r="R132" s="155"/>
      <c r="S132" s="131">
        <f>((((N132*(1+$D$7))+(P132*(1+$D$5+$D$6)))*(1+$D$8)))/I132</f>
        <v>2.2149086399999995</v>
      </c>
      <c r="T132" s="130">
        <f t="shared" si="123"/>
        <v>2846.6005841279994</v>
      </c>
    </row>
    <row r="133" spans="1:20" s="7" customFormat="1" ht="31.2" x14ac:dyDescent="0.25">
      <c r="A133" s="152">
        <f>IF(J133&lt;&gt;"",1+MAX($A$18:A132),"")</f>
        <v>62</v>
      </c>
      <c r="B133" s="50"/>
      <c r="C133" s="50"/>
      <c r="D133" s="100" t="s">
        <v>35</v>
      </c>
      <c r="E133" s="178" t="s">
        <v>104</v>
      </c>
      <c r="F133" s="175" t="s">
        <v>806</v>
      </c>
      <c r="G133" s="51">
        <f>305*8</f>
        <v>2440</v>
      </c>
      <c r="H133" s="52">
        <f>IF(VLOOKUP(J133,'HOURLY RATES'!B$116:C$124,2,0)=0,$J$3,VLOOKUP(J133,'HOURLY RATES'!B$116:C$124,2,0))</f>
        <v>0.05</v>
      </c>
      <c r="I133" s="53">
        <f t="shared" si="118"/>
        <v>2562</v>
      </c>
      <c r="J133" s="99" t="s">
        <v>226</v>
      </c>
      <c r="K133" s="153">
        <v>1.7999999999999999E-2</v>
      </c>
      <c r="L133" s="60">
        <f t="shared" si="119"/>
        <v>46.116</v>
      </c>
      <c r="M133" s="58">
        <f>IF(VLOOKUP(E133,'HOURLY RATES'!C$6:D$105,2,0)=0,$E$3,VLOOKUP(E133,'HOURLY RATES'!C$6:D$105,2,0))</f>
        <v>54</v>
      </c>
      <c r="N133" s="58">
        <f t="shared" si="120"/>
        <v>2490.2640000000001</v>
      </c>
      <c r="O133" s="61">
        <v>0.8</v>
      </c>
      <c r="P133" s="61">
        <f t="shared" si="121"/>
        <v>2049.6</v>
      </c>
      <c r="Q133" s="62">
        <f t="shared" si="122"/>
        <v>4539.8639999999996</v>
      </c>
      <c r="R133" s="155"/>
      <c r="S133" s="131">
        <f>((((N133*(1+$D$7))+(P133*(1+$D$5+$D$6)))*(1+$D$8)))/I133</f>
        <v>2.21490864</v>
      </c>
      <c r="T133" s="130">
        <f t="shared" si="123"/>
        <v>5674.5959356800004</v>
      </c>
    </row>
    <row r="134" spans="1:20" s="7" customFormat="1" x14ac:dyDescent="0.25">
      <c r="A134" s="152"/>
      <c r="B134" s="50"/>
      <c r="C134" s="63"/>
      <c r="D134" s="100"/>
      <c r="E134" s="178"/>
      <c r="F134" s="103"/>
      <c r="G134" s="51"/>
      <c r="H134" s="52"/>
      <c r="I134" s="53"/>
      <c r="J134" s="99"/>
      <c r="K134" s="153"/>
      <c r="L134" s="60"/>
      <c r="M134" s="58"/>
      <c r="N134" s="58"/>
      <c r="O134" s="61"/>
      <c r="P134" s="61"/>
      <c r="Q134" s="62"/>
      <c r="R134" s="155"/>
      <c r="S134" s="131"/>
      <c r="T134" s="130"/>
    </row>
    <row r="135" spans="1:20" s="7" customFormat="1" x14ac:dyDescent="0.25">
      <c r="A135" s="152">
        <f>IF(J135&lt;&gt;"",1+MAX($A$18:A133),"")</f>
        <v>63</v>
      </c>
      <c r="B135" s="50"/>
      <c r="C135" s="63"/>
      <c r="D135" s="100"/>
      <c r="E135" s="178"/>
      <c r="F135" s="177" t="s">
        <v>752</v>
      </c>
      <c r="G135" s="108">
        <v>2</v>
      </c>
      <c r="H135" s="52"/>
      <c r="I135" s="53"/>
      <c r="J135" s="99" t="s">
        <v>225</v>
      </c>
      <c r="K135" s="153"/>
      <c r="L135" s="60"/>
      <c r="M135" s="58"/>
      <c r="N135" s="58"/>
      <c r="O135" s="61"/>
      <c r="P135" s="61"/>
      <c r="Q135" s="62"/>
      <c r="R135" s="155"/>
      <c r="S135" s="131"/>
      <c r="T135" s="130"/>
    </row>
    <row r="136" spans="1:20" s="7" customFormat="1" x14ac:dyDescent="0.25">
      <c r="A136" s="152" t="str">
        <f>IF(J136&lt;&gt;"",1+MAX($A$18:A135),"")</f>
        <v/>
      </c>
      <c r="B136" s="50"/>
      <c r="C136" s="63"/>
      <c r="D136" s="100"/>
      <c r="E136" s="178"/>
      <c r="F136" s="172" t="s">
        <v>722</v>
      </c>
      <c r="G136" s="51"/>
      <c r="H136" s="52"/>
      <c r="I136" s="53"/>
      <c r="J136" s="99"/>
      <c r="K136" s="153"/>
      <c r="L136" s="60"/>
      <c r="M136" s="58"/>
      <c r="N136" s="58"/>
      <c r="O136" s="61"/>
      <c r="P136" s="61"/>
      <c r="Q136" s="62"/>
      <c r="R136" s="155"/>
      <c r="S136" s="131"/>
      <c r="T136" s="130"/>
    </row>
    <row r="137" spans="1:20" s="7" customFormat="1" ht="31.2" x14ac:dyDescent="0.25">
      <c r="A137" s="152">
        <f>IF(J137&lt;&gt;"",1+MAX($A$18:A136),"")</f>
        <v>64</v>
      </c>
      <c r="B137" s="50"/>
      <c r="C137" s="50"/>
      <c r="D137" s="100" t="s">
        <v>35</v>
      </c>
      <c r="E137" s="178" t="s">
        <v>104</v>
      </c>
      <c r="F137" s="175" t="s">
        <v>758</v>
      </c>
      <c r="G137" s="51">
        <f>819*2</f>
        <v>1638</v>
      </c>
      <c r="H137" s="52">
        <f>IF(VLOOKUP(J137,'HOURLY RATES'!B$116:C$124,2,0)=0,$J$3,VLOOKUP(J137,'HOURLY RATES'!B$116:C$124,2,0))</f>
        <v>0.05</v>
      </c>
      <c r="I137" s="53">
        <f t="shared" ref="I137" si="124">(G137*(1+H137))</f>
        <v>1719.9</v>
      </c>
      <c r="J137" s="99" t="s">
        <v>224</v>
      </c>
      <c r="K137" s="153">
        <v>2.1999999999999999E-2</v>
      </c>
      <c r="L137" s="60">
        <f t="shared" ref="L137" si="125">K137*I137</f>
        <v>37.837800000000001</v>
      </c>
      <c r="M137" s="58">
        <f>IF(VLOOKUP(E137,'HOURLY RATES'!C$6:D$105,2,0)=0,$E$3,VLOOKUP(E137,'HOURLY RATES'!C$6:D$105,2,0))</f>
        <v>54</v>
      </c>
      <c r="N137" s="58">
        <f t="shared" ref="N137" si="126">M137*L137</f>
        <v>2043.2412000000002</v>
      </c>
      <c r="O137" s="61">
        <v>0.4</v>
      </c>
      <c r="P137" s="61">
        <f t="shared" ref="P137" si="127">O137*I137</f>
        <v>687.96</v>
      </c>
      <c r="Q137" s="62">
        <f t="shared" ref="Q137" si="128">P137+N137</f>
        <v>2731.2012000000004</v>
      </c>
      <c r="R137" s="155"/>
      <c r="S137" s="131">
        <f>((((N137*(1+$D$7))+(P137*(1+$D$5+$D$6)))*(1+$D$8)))/I137</f>
        <v>1.9624903199999995</v>
      </c>
      <c r="T137" s="130">
        <f t="shared" ref="T137" si="129">S137*I137</f>
        <v>3375.2871013679992</v>
      </c>
    </row>
    <row r="138" spans="1:20" s="7" customFormat="1" x14ac:dyDescent="0.25">
      <c r="A138" s="152"/>
      <c r="B138" s="50"/>
      <c r="C138" s="63"/>
      <c r="D138" s="100"/>
      <c r="E138" s="178"/>
      <c r="F138" s="103"/>
      <c r="G138" s="51"/>
      <c r="H138" s="52"/>
      <c r="I138" s="53"/>
      <c r="J138" s="99"/>
      <c r="K138" s="153"/>
      <c r="L138" s="60"/>
      <c r="M138" s="58"/>
      <c r="N138" s="58"/>
      <c r="O138" s="61"/>
      <c r="P138" s="61"/>
      <c r="Q138" s="62"/>
      <c r="R138" s="155"/>
      <c r="S138" s="131"/>
      <c r="T138" s="130"/>
    </row>
    <row r="139" spans="1:20" s="7" customFormat="1" x14ac:dyDescent="0.25">
      <c r="A139" s="152" t="str">
        <f>IF(J139&lt;&gt;"",1+MAX($A$18:A137),"")</f>
        <v/>
      </c>
      <c r="B139" s="50"/>
      <c r="C139" s="63"/>
      <c r="D139" s="100"/>
      <c r="E139" s="178"/>
      <c r="F139" s="172" t="s">
        <v>719</v>
      </c>
      <c r="G139" s="51"/>
      <c r="H139" s="52"/>
      <c r="I139" s="53"/>
      <c r="J139" s="99"/>
      <c r="K139" s="153"/>
      <c r="L139" s="60"/>
      <c r="M139" s="58"/>
      <c r="N139" s="58"/>
      <c r="O139" s="61"/>
      <c r="P139" s="61"/>
      <c r="Q139" s="62"/>
      <c r="R139" s="155"/>
      <c r="S139" s="131"/>
      <c r="T139" s="130"/>
    </row>
    <row r="140" spans="1:20" s="7" customFormat="1" ht="31.2" x14ac:dyDescent="0.25">
      <c r="A140" s="152">
        <f>IF(J140&lt;&gt;"",1+MAX($A$18:A139),"")</f>
        <v>65</v>
      </c>
      <c r="B140" s="50"/>
      <c r="C140" s="50"/>
      <c r="D140" s="100" t="s">
        <v>35</v>
      </c>
      <c r="E140" s="178" t="s">
        <v>104</v>
      </c>
      <c r="F140" s="175" t="s">
        <v>760</v>
      </c>
      <c r="G140" s="51">
        <f>220*2</f>
        <v>440</v>
      </c>
      <c r="H140" s="52">
        <f>IF(VLOOKUP(J140,'HOURLY RATES'!B$116:C$124,2,0)=0,$J$3,VLOOKUP(J140,'HOURLY RATES'!B$116:C$124,2,0))</f>
        <v>0.05</v>
      </c>
      <c r="I140" s="53">
        <f t="shared" ref="I140:I144" si="130">(G140*(1+H140))</f>
        <v>462</v>
      </c>
      <c r="J140" s="99" t="s">
        <v>226</v>
      </c>
      <c r="K140" s="153">
        <v>1.7999999999999999E-2</v>
      </c>
      <c r="L140" s="60">
        <f t="shared" ref="L140" si="131">K140*I140</f>
        <v>8.3159999999999989</v>
      </c>
      <c r="M140" s="58">
        <f>IF(VLOOKUP(E140,'HOURLY RATES'!C$6:D$105,2,0)=0,$E$3,VLOOKUP(E140,'HOURLY RATES'!C$6:D$105,2,0))</f>
        <v>54</v>
      </c>
      <c r="N140" s="58">
        <f t="shared" ref="N140" si="132">M140*L140</f>
        <v>449.06399999999996</v>
      </c>
      <c r="O140" s="61">
        <v>0.8</v>
      </c>
      <c r="P140" s="61">
        <f t="shared" ref="P140:P144" si="133">O140*I140</f>
        <v>369.6</v>
      </c>
      <c r="Q140" s="62">
        <f t="shared" ref="Q140:Q144" si="134">P140+N140</f>
        <v>818.66399999999999</v>
      </c>
      <c r="R140" s="155"/>
      <c r="S140" s="131">
        <f>((((N140*(1+$D$7))+(P140*(1+$D$5+$D$6)))*(1+$D$8)))/I140</f>
        <v>2.2149086399999995</v>
      </c>
      <c r="T140" s="130">
        <f t="shared" ref="T140:T144" si="135">S140*I140</f>
        <v>1023.2877916799998</v>
      </c>
    </row>
    <row r="141" spans="1:20" s="7" customFormat="1" x14ac:dyDescent="0.25">
      <c r="A141" s="152"/>
      <c r="B141" s="50"/>
      <c r="C141" s="63"/>
      <c r="D141" s="100"/>
      <c r="E141" s="178"/>
      <c r="F141" s="103"/>
      <c r="G141" s="51"/>
      <c r="H141" s="52"/>
      <c r="I141" s="53"/>
      <c r="J141" s="99"/>
      <c r="K141" s="153"/>
      <c r="L141" s="60"/>
      <c r="M141" s="58"/>
      <c r="N141" s="58"/>
      <c r="O141" s="61"/>
      <c r="P141" s="61"/>
      <c r="Q141" s="62"/>
      <c r="R141" s="155"/>
      <c r="S141" s="131"/>
      <c r="T141" s="130"/>
    </row>
    <row r="142" spans="1:20" s="7" customFormat="1" x14ac:dyDescent="0.25">
      <c r="A142" s="152" t="str">
        <f>IF(J142&lt;&gt;"",1+MAX($A$18:A140),"")</f>
        <v/>
      </c>
      <c r="B142" s="50"/>
      <c r="C142" s="63"/>
      <c r="D142" s="100"/>
      <c r="E142" s="178"/>
      <c r="F142" s="172" t="s">
        <v>223</v>
      </c>
      <c r="G142" s="51"/>
      <c r="H142" s="52"/>
      <c r="I142" s="53"/>
      <c r="J142" s="99"/>
      <c r="K142" s="153"/>
      <c r="L142" s="60"/>
      <c r="M142" s="58"/>
      <c r="N142" s="58"/>
      <c r="O142" s="61"/>
      <c r="P142" s="61"/>
      <c r="Q142" s="62"/>
      <c r="R142" s="155"/>
      <c r="S142" s="131"/>
      <c r="T142" s="130"/>
    </row>
    <row r="143" spans="1:20" s="7" customFormat="1" ht="31.2" x14ac:dyDescent="0.25">
      <c r="A143" s="152">
        <f>IF(J143&lt;&gt;"",1+MAX($A$18:A142),"")</f>
        <v>66</v>
      </c>
      <c r="B143" s="50"/>
      <c r="C143" s="50"/>
      <c r="D143" s="100" t="s">
        <v>35</v>
      </c>
      <c r="E143" s="178" t="s">
        <v>104</v>
      </c>
      <c r="F143" s="175" t="s">
        <v>757</v>
      </c>
      <c r="G143" s="51">
        <f>1626*2</f>
        <v>3252</v>
      </c>
      <c r="H143" s="52">
        <f>IF(VLOOKUP(J143,'HOURLY RATES'!B$116:C$124,2,0)=0,$J$3,VLOOKUP(J143,'HOURLY RATES'!B$116:C$124,2,0))</f>
        <v>0.05</v>
      </c>
      <c r="I143" s="53">
        <f t="shared" si="130"/>
        <v>3414.6000000000004</v>
      </c>
      <c r="J143" s="99" t="s">
        <v>224</v>
      </c>
      <c r="K143" s="153">
        <v>0.02</v>
      </c>
      <c r="L143" s="60">
        <f t="shared" ref="L143:L144" si="136">K143*I143</f>
        <v>68.292000000000002</v>
      </c>
      <c r="M143" s="58">
        <f>IF(VLOOKUP(E143,'HOURLY RATES'!C$6:D$105,2,0)=0,$E$3,VLOOKUP(E143,'HOURLY RATES'!C$6:D$105,2,0))</f>
        <v>54</v>
      </c>
      <c r="N143" s="58">
        <f t="shared" ref="N143:N144" si="137">M143*L143</f>
        <v>3687.768</v>
      </c>
      <c r="O143" s="61">
        <v>0.4</v>
      </c>
      <c r="P143" s="61">
        <f t="shared" si="133"/>
        <v>1365.8400000000001</v>
      </c>
      <c r="Q143" s="62">
        <f t="shared" si="134"/>
        <v>5053.6080000000002</v>
      </c>
      <c r="R143" s="155"/>
      <c r="S143" s="131">
        <f>((((N143*(1+$D$7))+(P143*(1+$D$5+$D$6)))*(1+$D$8)))/I143</f>
        <v>1.8309463199999998</v>
      </c>
      <c r="T143" s="130">
        <f t="shared" si="135"/>
        <v>6251.9493042719996</v>
      </c>
    </row>
    <row r="144" spans="1:20" s="7" customFormat="1" ht="31.2" x14ac:dyDescent="0.25">
      <c r="A144" s="152">
        <f>IF(J144&lt;&gt;"",1+MAX($A$18:A143),"")</f>
        <v>67</v>
      </c>
      <c r="B144" s="50"/>
      <c r="C144" s="50"/>
      <c r="D144" s="100" t="s">
        <v>35</v>
      </c>
      <c r="E144" s="178" t="s">
        <v>104</v>
      </c>
      <c r="F144" s="175" t="s">
        <v>759</v>
      </c>
      <c r="G144" s="51">
        <f>238*2</f>
        <v>476</v>
      </c>
      <c r="H144" s="52">
        <f>IF(VLOOKUP(J144,'HOURLY RATES'!B$116:C$124,2,0)=0,$J$3,VLOOKUP(J144,'HOURLY RATES'!B$116:C$124,2,0))</f>
        <v>0.05</v>
      </c>
      <c r="I144" s="53">
        <f t="shared" si="130"/>
        <v>499.8</v>
      </c>
      <c r="J144" s="99" t="s">
        <v>224</v>
      </c>
      <c r="K144" s="153">
        <v>0.02</v>
      </c>
      <c r="L144" s="60">
        <f t="shared" si="136"/>
        <v>9.9960000000000004</v>
      </c>
      <c r="M144" s="58">
        <f>IF(VLOOKUP(E144,'HOURLY RATES'!C$6:D$105,2,0)=0,$E$3,VLOOKUP(E144,'HOURLY RATES'!C$6:D$105,2,0))</f>
        <v>54</v>
      </c>
      <c r="N144" s="58">
        <f t="shared" si="137"/>
        <v>539.78399999999999</v>
      </c>
      <c r="O144" s="61">
        <v>0.4</v>
      </c>
      <c r="P144" s="61">
        <f t="shared" si="133"/>
        <v>199.92000000000002</v>
      </c>
      <c r="Q144" s="62">
        <f t="shared" si="134"/>
        <v>739.70399999999995</v>
      </c>
      <c r="R144" s="155"/>
      <c r="S144" s="131">
        <f>((((N144*(1+$D$7))+(P144*(1+$D$5+$D$6)))*(1+$D$8)))/I144</f>
        <v>1.8309463199999998</v>
      </c>
      <c r="T144" s="130">
        <f t="shared" si="135"/>
        <v>915.10697073599988</v>
      </c>
    </row>
    <row r="145" spans="1:20" s="7" customFormat="1" x14ac:dyDescent="0.25">
      <c r="A145" s="152"/>
      <c r="B145" s="50"/>
      <c r="C145" s="63"/>
      <c r="D145" s="100"/>
      <c r="E145" s="178"/>
      <c r="F145" s="103"/>
      <c r="G145" s="51"/>
      <c r="H145" s="52"/>
      <c r="I145" s="53"/>
      <c r="J145" s="99"/>
      <c r="K145" s="153"/>
      <c r="L145" s="60"/>
      <c r="M145" s="58"/>
      <c r="N145" s="58"/>
      <c r="O145" s="61"/>
      <c r="P145" s="61"/>
      <c r="Q145" s="62"/>
      <c r="R145" s="155"/>
      <c r="S145" s="131"/>
      <c r="T145" s="130"/>
    </row>
    <row r="146" spans="1:20" s="7" customFormat="1" x14ac:dyDescent="0.25">
      <c r="A146" s="152" t="str">
        <f>IF(J146&lt;&gt;"",1+MAX($A$18:A143),"")</f>
        <v/>
      </c>
      <c r="B146" s="50"/>
      <c r="C146" s="63"/>
      <c r="D146" s="100"/>
      <c r="E146" s="178"/>
      <c r="F146" s="172" t="s">
        <v>723</v>
      </c>
      <c r="G146" s="51"/>
      <c r="H146" s="52"/>
      <c r="I146" s="53"/>
      <c r="J146" s="99"/>
      <c r="K146" s="153"/>
      <c r="L146" s="60"/>
      <c r="M146" s="58"/>
      <c r="N146" s="58"/>
      <c r="O146" s="61"/>
      <c r="P146" s="61"/>
      <c r="Q146" s="62"/>
      <c r="R146" s="155"/>
      <c r="S146" s="131"/>
      <c r="T146" s="130"/>
    </row>
    <row r="147" spans="1:20" s="7" customFormat="1" ht="31.2" x14ac:dyDescent="0.25">
      <c r="A147" s="152">
        <f>IF(J147&lt;&gt;"",1+MAX($A$18:A146),"")</f>
        <v>68</v>
      </c>
      <c r="B147" s="50"/>
      <c r="C147" s="50"/>
      <c r="D147" s="100" t="s">
        <v>35</v>
      </c>
      <c r="E147" s="178" t="s">
        <v>104</v>
      </c>
      <c r="F147" s="175" t="s">
        <v>804</v>
      </c>
      <c r="G147" s="51">
        <f>9*2</f>
        <v>18</v>
      </c>
      <c r="H147" s="52">
        <f>IF(VLOOKUP(J147,'HOURLY RATES'!B$116:C$124,2,0)=0,$J$3,VLOOKUP(J147,'HOURLY RATES'!B$116:C$124,2,0))</f>
        <v>0</v>
      </c>
      <c r="I147" s="53">
        <f t="shared" ref="I147:I149" si="138">(G147*(1+H147))</f>
        <v>18</v>
      </c>
      <c r="J147" s="99" t="s">
        <v>225</v>
      </c>
      <c r="K147" s="153">
        <v>1.23</v>
      </c>
      <c r="L147" s="60">
        <f t="shared" ref="L147:L149" si="139">K147*I147</f>
        <v>22.14</v>
      </c>
      <c r="M147" s="58">
        <f>IF(VLOOKUP(E147,'HOURLY RATES'!C$6:D$105,2,0)=0,$E$3,VLOOKUP(E147,'HOURLY RATES'!C$6:D$105,2,0))</f>
        <v>54</v>
      </c>
      <c r="N147" s="58">
        <f t="shared" ref="N147:N149" si="140">M147*L147</f>
        <v>1195.56</v>
      </c>
      <c r="O147" s="61">
        <v>28</v>
      </c>
      <c r="P147" s="61">
        <f t="shared" ref="P147:P149" si="141">O147*I147</f>
        <v>504</v>
      </c>
      <c r="Q147" s="62">
        <f t="shared" ref="Q147:Q149" si="142">P147+N147</f>
        <v>1699.56</v>
      </c>
      <c r="R147" s="155"/>
      <c r="S147" s="131">
        <f>((((N147*(1+$D$7))+(P147*(1+$D$5+$D$6)))*(1+$D$8)))/I147</f>
        <v>116.98500239999998</v>
      </c>
      <c r="T147" s="130">
        <f t="shared" ref="T147:T149" si="143">S147*I147</f>
        <v>2105.7300431999997</v>
      </c>
    </row>
    <row r="148" spans="1:20" s="7" customFormat="1" ht="31.2" x14ac:dyDescent="0.25">
      <c r="A148" s="152">
        <f>IF(J148&lt;&gt;"",1+MAX($A$18:A147),"")</f>
        <v>69</v>
      </c>
      <c r="B148" s="50"/>
      <c r="C148" s="50"/>
      <c r="D148" s="100" t="s">
        <v>35</v>
      </c>
      <c r="E148" s="178" t="s">
        <v>104</v>
      </c>
      <c r="F148" s="175" t="s">
        <v>805</v>
      </c>
      <c r="G148" s="51">
        <f>153*2</f>
        <v>306</v>
      </c>
      <c r="H148" s="52">
        <f>IF(VLOOKUP(J148,'HOURLY RATES'!B$116:C$124,2,0)=0,$J$3,VLOOKUP(J148,'HOURLY RATES'!B$116:C$124,2,0))</f>
        <v>0.05</v>
      </c>
      <c r="I148" s="53">
        <f t="shared" si="138"/>
        <v>321.3</v>
      </c>
      <c r="J148" s="99" t="s">
        <v>226</v>
      </c>
      <c r="K148" s="153">
        <v>1.7999999999999999E-2</v>
      </c>
      <c r="L148" s="60">
        <f t="shared" si="139"/>
        <v>5.7833999999999994</v>
      </c>
      <c r="M148" s="58">
        <f>IF(VLOOKUP(E148,'HOURLY RATES'!C$6:D$105,2,0)=0,$E$3,VLOOKUP(E148,'HOURLY RATES'!C$6:D$105,2,0))</f>
        <v>54</v>
      </c>
      <c r="N148" s="58">
        <f t="shared" si="140"/>
        <v>312.30359999999996</v>
      </c>
      <c r="O148" s="61">
        <v>0.8</v>
      </c>
      <c r="P148" s="61">
        <f t="shared" si="141"/>
        <v>257.04000000000002</v>
      </c>
      <c r="Q148" s="62">
        <f t="shared" si="142"/>
        <v>569.34359999999992</v>
      </c>
      <c r="R148" s="155"/>
      <c r="S148" s="131">
        <f>((((N148*(1+$D$7))+(P148*(1+$D$5+$D$6)))*(1+$D$8)))/I148</f>
        <v>2.2149086399999995</v>
      </c>
      <c r="T148" s="130">
        <f t="shared" si="143"/>
        <v>711.65014603199984</v>
      </c>
    </row>
    <row r="149" spans="1:20" s="7" customFormat="1" ht="31.2" x14ac:dyDescent="0.25">
      <c r="A149" s="152">
        <f>IF(J149&lt;&gt;"",1+MAX($A$18:A148),"")</f>
        <v>70</v>
      </c>
      <c r="B149" s="50"/>
      <c r="C149" s="50"/>
      <c r="D149" s="100" t="s">
        <v>35</v>
      </c>
      <c r="E149" s="178" t="s">
        <v>104</v>
      </c>
      <c r="F149" s="175" t="s">
        <v>806</v>
      </c>
      <c r="G149" s="51">
        <f>306*2</f>
        <v>612</v>
      </c>
      <c r="H149" s="52">
        <f>IF(VLOOKUP(J149,'HOURLY RATES'!B$116:C$124,2,0)=0,$J$3,VLOOKUP(J149,'HOURLY RATES'!B$116:C$124,2,0))</f>
        <v>0.05</v>
      </c>
      <c r="I149" s="53">
        <f t="shared" si="138"/>
        <v>642.6</v>
      </c>
      <c r="J149" s="99" t="s">
        <v>226</v>
      </c>
      <c r="K149" s="153">
        <v>1.7999999999999999E-2</v>
      </c>
      <c r="L149" s="60">
        <f t="shared" si="139"/>
        <v>11.566799999999999</v>
      </c>
      <c r="M149" s="58">
        <f>IF(VLOOKUP(E149,'HOURLY RATES'!C$6:D$105,2,0)=0,$E$3,VLOOKUP(E149,'HOURLY RATES'!C$6:D$105,2,0))</f>
        <v>54</v>
      </c>
      <c r="N149" s="58">
        <f t="shared" si="140"/>
        <v>624.60719999999992</v>
      </c>
      <c r="O149" s="61">
        <v>0.8</v>
      </c>
      <c r="P149" s="61">
        <f t="shared" si="141"/>
        <v>514.08000000000004</v>
      </c>
      <c r="Q149" s="62">
        <f t="shared" si="142"/>
        <v>1138.6871999999998</v>
      </c>
      <c r="R149" s="155"/>
      <c r="S149" s="131">
        <f>((((N149*(1+$D$7))+(P149*(1+$D$5+$D$6)))*(1+$D$8)))/I149</f>
        <v>2.2149086399999995</v>
      </c>
      <c r="T149" s="130">
        <f t="shared" si="143"/>
        <v>1423.3002920639997</v>
      </c>
    </row>
    <row r="150" spans="1:20" s="7" customFormat="1" x14ac:dyDescent="0.25">
      <c r="A150" s="152"/>
      <c r="B150" s="50"/>
      <c r="C150" s="63"/>
      <c r="D150" s="100"/>
      <c r="E150" s="178"/>
      <c r="F150" s="103"/>
      <c r="G150" s="51"/>
      <c r="H150" s="52"/>
      <c r="I150" s="53"/>
      <c r="J150" s="99"/>
      <c r="K150" s="153"/>
      <c r="L150" s="60"/>
      <c r="M150" s="58"/>
      <c r="N150" s="58"/>
      <c r="O150" s="61"/>
      <c r="P150" s="61"/>
      <c r="Q150" s="62"/>
      <c r="R150" s="155"/>
      <c r="S150" s="131"/>
      <c r="T150" s="130"/>
    </row>
    <row r="151" spans="1:20" s="7" customFormat="1" x14ac:dyDescent="0.25">
      <c r="A151" s="152">
        <f>IF(J151&lt;&gt;"",1+MAX($A$18:A149),"")</f>
        <v>71</v>
      </c>
      <c r="B151" s="50"/>
      <c r="C151" s="63"/>
      <c r="D151" s="100"/>
      <c r="E151" s="178"/>
      <c r="F151" s="177" t="s">
        <v>753</v>
      </c>
      <c r="G151" s="108">
        <v>22</v>
      </c>
      <c r="H151" s="52"/>
      <c r="I151" s="53"/>
      <c r="J151" s="99" t="s">
        <v>225</v>
      </c>
      <c r="K151" s="153"/>
      <c r="L151" s="60"/>
      <c r="M151" s="58"/>
      <c r="N151" s="58"/>
      <c r="O151" s="61"/>
      <c r="P151" s="61"/>
      <c r="Q151" s="62"/>
      <c r="R151" s="155"/>
      <c r="S151" s="131"/>
      <c r="T151" s="130"/>
    </row>
    <row r="152" spans="1:20" s="7" customFormat="1" x14ac:dyDescent="0.25">
      <c r="A152" s="152" t="str">
        <f>IF(J152&lt;&gt;"",1+MAX($A$18:A151),"")</f>
        <v/>
      </c>
      <c r="B152" s="50"/>
      <c r="C152" s="63"/>
      <c r="D152" s="100"/>
      <c r="E152" s="178"/>
      <c r="F152" s="172" t="s">
        <v>722</v>
      </c>
      <c r="G152" s="51"/>
      <c r="H152" s="52"/>
      <c r="I152" s="53"/>
      <c r="J152" s="99"/>
      <c r="K152" s="153"/>
      <c r="L152" s="60"/>
      <c r="M152" s="58"/>
      <c r="N152" s="58"/>
      <c r="O152" s="61"/>
      <c r="P152" s="61"/>
      <c r="Q152" s="62"/>
      <c r="R152" s="155"/>
      <c r="S152" s="131"/>
      <c r="T152" s="130"/>
    </row>
    <row r="153" spans="1:20" s="7" customFormat="1" ht="31.2" x14ac:dyDescent="0.25">
      <c r="A153" s="152">
        <f>IF(J153&lt;&gt;"",1+MAX($A$18:A152),"")</f>
        <v>72</v>
      </c>
      <c r="B153" s="50"/>
      <c r="C153" s="50"/>
      <c r="D153" s="100" t="s">
        <v>35</v>
      </c>
      <c r="E153" s="178" t="s">
        <v>104</v>
      </c>
      <c r="F153" s="175" t="s">
        <v>758</v>
      </c>
      <c r="G153" s="51">
        <f>2173*22</f>
        <v>47806</v>
      </c>
      <c r="H153" s="52">
        <f>IF(VLOOKUP(J153,'HOURLY RATES'!B$116:C$124,2,0)=0,$J$3,VLOOKUP(J153,'HOURLY RATES'!B$116:C$124,2,0))</f>
        <v>0.05</v>
      </c>
      <c r="I153" s="53">
        <f t="shared" ref="I153" si="144">(G153*(1+H153))</f>
        <v>50196.3</v>
      </c>
      <c r="J153" s="99" t="s">
        <v>224</v>
      </c>
      <c r="K153" s="153">
        <v>2.1999999999999999E-2</v>
      </c>
      <c r="L153" s="60">
        <f t="shared" ref="L153" si="145">K153*I153</f>
        <v>1104.3186000000001</v>
      </c>
      <c r="M153" s="58">
        <f>IF(VLOOKUP(E153,'HOURLY RATES'!C$6:D$105,2,0)=0,$E$3,VLOOKUP(E153,'HOURLY RATES'!C$6:D$105,2,0))</f>
        <v>54</v>
      </c>
      <c r="N153" s="58">
        <f t="shared" ref="N153" si="146">M153*L153</f>
        <v>59633.204400000002</v>
      </c>
      <c r="O153" s="61">
        <v>0.4</v>
      </c>
      <c r="P153" s="61">
        <f t="shared" ref="P153" si="147">O153*I153</f>
        <v>20078.520000000004</v>
      </c>
      <c r="Q153" s="62">
        <f t="shared" ref="Q153" si="148">P153+N153</f>
        <v>79711.724400000006</v>
      </c>
      <c r="R153" s="155"/>
      <c r="S153" s="131">
        <f>((((N153*(1+$D$7))+(P153*(1+$D$5+$D$6)))*(1+$D$8)))/I153</f>
        <v>1.9624903199999995</v>
      </c>
      <c r="T153" s="130">
        <f t="shared" ref="T153" si="149">S153*I153</f>
        <v>98509.752849815981</v>
      </c>
    </row>
    <row r="154" spans="1:20" s="7" customFormat="1" x14ac:dyDescent="0.25">
      <c r="A154" s="152"/>
      <c r="B154" s="50"/>
      <c r="C154" s="63"/>
      <c r="D154" s="100"/>
      <c r="E154" s="178"/>
      <c r="F154" s="103"/>
      <c r="G154" s="51"/>
      <c r="H154" s="52"/>
      <c r="I154" s="53"/>
      <c r="J154" s="99"/>
      <c r="K154" s="153"/>
      <c r="L154" s="60"/>
      <c r="M154" s="58"/>
      <c r="N154" s="58"/>
      <c r="O154" s="61"/>
      <c r="P154" s="61"/>
      <c r="Q154" s="62"/>
      <c r="R154" s="155"/>
      <c r="S154" s="131"/>
      <c r="T154" s="130"/>
    </row>
    <row r="155" spans="1:20" s="7" customFormat="1" x14ac:dyDescent="0.25">
      <c r="A155" s="152" t="str">
        <f>IF(J155&lt;&gt;"",1+MAX($A$18:A153),"")</f>
        <v/>
      </c>
      <c r="B155" s="50"/>
      <c r="C155" s="63"/>
      <c r="D155" s="100"/>
      <c r="E155" s="178"/>
      <c r="F155" s="172" t="s">
        <v>719</v>
      </c>
      <c r="G155" s="51"/>
      <c r="H155" s="52"/>
      <c r="I155" s="53"/>
      <c r="J155" s="99"/>
      <c r="K155" s="153"/>
      <c r="L155" s="60"/>
      <c r="M155" s="58"/>
      <c r="N155" s="58"/>
      <c r="O155" s="61"/>
      <c r="P155" s="61"/>
      <c r="Q155" s="62"/>
      <c r="R155" s="155"/>
      <c r="S155" s="131"/>
      <c r="T155" s="130"/>
    </row>
    <row r="156" spans="1:20" s="7" customFormat="1" ht="31.2" x14ac:dyDescent="0.25">
      <c r="A156" s="152">
        <f>IF(J156&lt;&gt;"",1+MAX($A$18:A155),"")</f>
        <v>73</v>
      </c>
      <c r="B156" s="50"/>
      <c r="C156" s="50"/>
      <c r="D156" s="100" t="s">
        <v>35</v>
      </c>
      <c r="E156" s="178" t="s">
        <v>104</v>
      </c>
      <c r="F156" s="175" t="s">
        <v>760</v>
      </c>
      <c r="G156" s="51">
        <f>550*22</f>
        <v>12100</v>
      </c>
      <c r="H156" s="52">
        <f>IF(VLOOKUP(J156,'HOURLY RATES'!B$116:C$124,2,0)=0,$J$3,VLOOKUP(J156,'HOURLY RATES'!B$116:C$124,2,0))</f>
        <v>0.05</v>
      </c>
      <c r="I156" s="53">
        <f t="shared" ref="I156:I160" si="150">(G156*(1+H156))</f>
        <v>12705</v>
      </c>
      <c r="J156" s="99" t="s">
        <v>226</v>
      </c>
      <c r="K156" s="153">
        <v>1.7999999999999999E-2</v>
      </c>
      <c r="L156" s="60">
        <f t="shared" ref="L156" si="151">K156*I156</f>
        <v>228.68999999999997</v>
      </c>
      <c r="M156" s="58">
        <f>IF(VLOOKUP(E156,'HOURLY RATES'!C$6:D$105,2,0)=0,$E$3,VLOOKUP(E156,'HOURLY RATES'!C$6:D$105,2,0))</f>
        <v>54</v>
      </c>
      <c r="N156" s="58">
        <f t="shared" ref="N156" si="152">M156*L156</f>
        <v>12349.259999999998</v>
      </c>
      <c r="O156" s="61">
        <v>0.8</v>
      </c>
      <c r="P156" s="61">
        <f t="shared" ref="P156:P160" si="153">O156*I156</f>
        <v>10164</v>
      </c>
      <c r="Q156" s="62">
        <f t="shared" ref="Q156:Q160" si="154">P156+N156</f>
        <v>22513.26</v>
      </c>
      <c r="R156" s="155"/>
      <c r="S156" s="131">
        <f>((((N156*(1+$D$7))+(P156*(1+$D$5+$D$6)))*(1+$D$8)))/I156</f>
        <v>2.2149086399999995</v>
      </c>
      <c r="T156" s="130">
        <f t="shared" ref="T156:T160" si="155">S156*I156</f>
        <v>28140.414271199996</v>
      </c>
    </row>
    <row r="157" spans="1:20" s="7" customFormat="1" x14ac:dyDescent="0.25">
      <c r="A157" s="152"/>
      <c r="B157" s="50"/>
      <c r="C157" s="63"/>
      <c r="D157" s="100"/>
      <c r="E157" s="178"/>
      <c r="F157" s="103"/>
      <c r="G157" s="51"/>
      <c r="H157" s="52"/>
      <c r="I157" s="53"/>
      <c r="J157" s="99"/>
      <c r="K157" s="153"/>
      <c r="L157" s="60"/>
      <c r="M157" s="58"/>
      <c r="N157" s="58"/>
      <c r="O157" s="61"/>
      <c r="P157" s="61"/>
      <c r="Q157" s="62"/>
      <c r="R157" s="155"/>
      <c r="S157" s="131"/>
      <c r="T157" s="130"/>
    </row>
    <row r="158" spans="1:20" s="7" customFormat="1" x14ac:dyDescent="0.25">
      <c r="A158" s="152" t="str">
        <f>IF(J158&lt;&gt;"",1+MAX($A$18:A156),"")</f>
        <v/>
      </c>
      <c r="B158" s="50"/>
      <c r="C158" s="63"/>
      <c r="D158" s="100"/>
      <c r="E158" s="178"/>
      <c r="F158" s="172" t="s">
        <v>223</v>
      </c>
      <c r="G158" s="51"/>
      <c r="H158" s="52"/>
      <c r="I158" s="53"/>
      <c r="J158" s="99"/>
      <c r="K158" s="153"/>
      <c r="L158" s="60"/>
      <c r="M158" s="58"/>
      <c r="N158" s="58"/>
      <c r="O158" s="61"/>
      <c r="P158" s="61"/>
      <c r="Q158" s="62"/>
      <c r="R158" s="155"/>
      <c r="S158" s="131"/>
      <c r="T158" s="130"/>
    </row>
    <row r="159" spans="1:20" s="7" customFormat="1" ht="31.2" x14ac:dyDescent="0.25">
      <c r="A159" s="152">
        <f>IF(J159&lt;&gt;"",1+MAX($A$18:A158),"")</f>
        <v>74</v>
      </c>
      <c r="B159" s="50"/>
      <c r="C159" s="50"/>
      <c r="D159" s="100" t="s">
        <v>35</v>
      </c>
      <c r="E159" s="178" t="s">
        <v>104</v>
      </c>
      <c r="F159" s="175" t="s">
        <v>757</v>
      </c>
      <c r="G159" s="51">
        <f>4741*22</f>
        <v>104302</v>
      </c>
      <c r="H159" s="52">
        <f>IF(VLOOKUP(J159,'HOURLY RATES'!B$116:C$124,2,0)=0,$J$3,VLOOKUP(J159,'HOURLY RATES'!B$116:C$124,2,0))</f>
        <v>0.05</v>
      </c>
      <c r="I159" s="53">
        <f t="shared" si="150"/>
        <v>109517.1</v>
      </c>
      <c r="J159" s="99" t="s">
        <v>224</v>
      </c>
      <c r="K159" s="153">
        <v>0.02</v>
      </c>
      <c r="L159" s="60">
        <f t="shared" ref="L159:L160" si="156">K159*I159</f>
        <v>2190.3420000000001</v>
      </c>
      <c r="M159" s="58">
        <f>IF(VLOOKUP(E159,'HOURLY RATES'!C$6:D$105,2,0)=0,$E$3,VLOOKUP(E159,'HOURLY RATES'!C$6:D$105,2,0))</f>
        <v>54</v>
      </c>
      <c r="N159" s="58">
        <f t="shared" ref="N159:N160" si="157">M159*L159</f>
        <v>118278.46800000001</v>
      </c>
      <c r="O159" s="61">
        <v>0.4</v>
      </c>
      <c r="P159" s="61">
        <f t="shared" si="153"/>
        <v>43806.840000000004</v>
      </c>
      <c r="Q159" s="62">
        <f t="shared" si="154"/>
        <v>162085.30800000002</v>
      </c>
      <c r="R159" s="155"/>
      <c r="S159" s="131">
        <f>((((N159*(1+$D$7))+(P159*(1+$D$5+$D$6)))*(1+$D$8)))/I159</f>
        <v>1.8309463199999996</v>
      </c>
      <c r="T159" s="130">
        <f t="shared" si="155"/>
        <v>200519.93122207196</v>
      </c>
    </row>
    <row r="160" spans="1:20" s="7" customFormat="1" ht="31.2" x14ac:dyDescent="0.25">
      <c r="A160" s="152">
        <f>IF(J160&lt;&gt;"",1+MAX($A$18:A159),"")</f>
        <v>75</v>
      </c>
      <c r="B160" s="50"/>
      <c r="C160" s="50"/>
      <c r="D160" s="100" t="s">
        <v>35</v>
      </c>
      <c r="E160" s="178" t="s">
        <v>104</v>
      </c>
      <c r="F160" s="175" t="s">
        <v>759</v>
      </c>
      <c r="G160" s="51">
        <f>800*22</f>
        <v>17600</v>
      </c>
      <c r="H160" s="52">
        <f>IF(VLOOKUP(J160,'HOURLY RATES'!B$116:C$124,2,0)=0,$J$3,VLOOKUP(J160,'HOURLY RATES'!B$116:C$124,2,0))</f>
        <v>0.05</v>
      </c>
      <c r="I160" s="53">
        <f t="shared" si="150"/>
        <v>18480</v>
      </c>
      <c r="J160" s="99" t="s">
        <v>224</v>
      </c>
      <c r="K160" s="153">
        <v>0.02</v>
      </c>
      <c r="L160" s="60">
        <f t="shared" si="156"/>
        <v>369.6</v>
      </c>
      <c r="M160" s="58">
        <f>IF(VLOOKUP(E160,'HOURLY RATES'!C$6:D$105,2,0)=0,$E$3,VLOOKUP(E160,'HOURLY RATES'!C$6:D$105,2,0))</f>
        <v>54</v>
      </c>
      <c r="N160" s="58">
        <f t="shared" si="157"/>
        <v>19958.400000000001</v>
      </c>
      <c r="O160" s="61">
        <v>0.4</v>
      </c>
      <c r="P160" s="61">
        <f t="shared" si="153"/>
        <v>7392</v>
      </c>
      <c r="Q160" s="62">
        <f t="shared" si="154"/>
        <v>27350.400000000001</v>
      </c>
      <c r="R160" s="155"/>
      <c r="S160" s="131">
        <f>((((N160*(1+$D$7))+(P160*(1+$D$5+$D$6)))*(1+$D$8)))/I160</f>
        <v>1.8309463199999996</v>
      </c>
      <c r="T160" s="130">
        <f t="shared" si="155"/>
        <v>33835.887993599994</v>
      </c>
    </row>
    <row r="161" spans="1:20" s="7" customFormat="1" x14ac:dyDescent="0.25">
      <c r="A161" s="276"/>
      <c r="B161" s="277"/>
      <c r="C161" s="277"/>
      <c r="D161" s="278"/>
      <c r="E161" s="277"/>
      <c r="F161" s="103"/>
      <c r="G161" s="279"/>
      <c r="H161" s="280"/>
      <c r="I161" s="281"/>
      <c r="J161" s="282"/>
      <c r="K161" s="283"/>
      <c r="L161" s="284"/>
      <c r="M161" s="285"/>
      <c r="N161" s="285"/>
      <c r="O161" s="286"/>
      <c r="P161" s="286"/>
      <c r="Q161" s="287"/>
      <c r="R161" s="288"/>
      <c r="S161" s="289"/>
      <c r="T161" s="290"/>
    </row>
    <row r="162" spans="1:20" s="7" customFormat="1" x14ac:dyDescent="0.25">
      <c r="A162" s="152" t="str">
        <f>IF(J162&lt;&gt;"",1+MAX($A$18:A159),"")</f>
        <v/>
      </c>
      <c r="B162" s="50"/>
      <c r="C162" s="63"/>
      <c r="D162" s="100"/>
      <c r="E162" s="178"/>
      <c r="F162" s="172" t="s">
        <v>723</v>
      </c>
      <c r="G162" s="51"/>
      <c r="H162" s="52"/>
      <c r="I162" s="53"/>
      <c r="J162" s="99"/>
      <c r="K162" s="153"/>
      <c r="L162" s="60"/>
      <c r="M162" s="58"/>
      <c r="N162" s="58"/>
      <c r="O162" s="61"/>
      <c r="P162" s="61"/>
      <c r="Q162" s="62"/>
      <c r="R162" s="155"/>
      <c r="S162" s="131"/>
      <c r="T162" s="130"/>
    </row>
    <row r="163" spans="1:20" s="7" customFormat="1" ht="31.2" x14ac:dyDescent="0.25">
      <c r="A163" s="152">
        <f>IF(J163&lt;&gt;"",1+MAX($A$18:A162),"")</f>
        <v>76</v>
      </c>
      <c r="B163" s="50"/>
      <c r="C163" s="50"/>
      <c r="D163" s="100" t="s">
        <v>35</v>
      </c>
      <c r="E163" s="178" t="s">
        <v>104</v>
      </c>
      <c r="F163" s="175" t="s">
        <v>804</v>
      </c>
      <c r="G163" s="51">
        <f>13*22</f>
        <v>286</v>
      </c>
      <c r="H163" s="52">
        <f>IF(VLOOKUP(J163,'HOURLY RATES'!B$116:C$124,2,0)=0,$J$3,VLOOKUP(J163,'HOURLY RATES'!B$116:C$124,2,0))</f>
        <v>0</v>
      </c>
      <c r="I163" s="53">
        <f t="shared" ref="I163:I165" si="158">(G163*(1+H163))</f>
        <v>286</v>
      </c>
      <c r="J163" s="99" t="s">
        <v>225</v>
      </c>
      <c r="K163" s="153">
        <v>1.23</v>
      </c>
      <c r="L163" s="60">
        <f t="shared" ref="L163:L165" si="159">K163*I163</f>
        <v>351.78</v>
      </c>
      <c r="M163" s="58">
        <f>IF(VLOOKUP(E163,'HOURLY RATES'!C$6:D$105,2,0)=0,$E$3,VLOOKUP(E163,'HOURLY RATES'!C$6:D$105,2,0))</f>
        <v>54</v>
      </c>
      <c r="N163" s="58">
        <f t="shared" ref="N163:N165" si="160">M163*L163</f>
        <v>18996.12</v>
      </c>
      <c r="O163" s="61">
        <v>28</v>
      </c>
      <c r="P163" s="61">
        <f t="shared" ref="P163:P165" si="161">O163*I163</f>
        <v>8008</v>
      </c>
      <c r="Q163" s="62">
        <f t="shared" ref="Q163:Q165" si="162">P163+N163</f>
        <v>27004.12</v>
      </c>
      <c r="R163" s="155"/>
      <c r="S163" s="131">
        <f>((((N163*(1+$D$7))+(P163*(1+$D$5+$D$6)))*(1+$D$8)))/I163</f>
        <v>116.98500239999996</v>
      </c>
      <c r="T163" s="130">
        <f t="shared" ref="T163:T165" si="163">S163*I163</f>
        <v>33457.710686399987</v>
      </c>
    </row>
    <row r="164" spans="1:20" s="7" customFormat="1" ht="31.2" x14ac:dyDescent="0.25">
      <c r="A164" s="152">
        <f>IF(J164&lt;&gt;"",1+MAX($A$18:A163),"")</f>
        <v>77</v>
      </c>
      <c r="B164" s="50"/>
      <c r="C164" s="50"/>
      <c r="D164" s="100" t="s">
        <v>35</v>
      </c>
      <c r="E164" s="178" t="s">
        <v>104</v>
      </c>
      <c r="F164" s="175" t="s">
        <v>805</v>
      </c>
      <c r="G164" s="51">
        <f>218*22</f>
        <v>4796</v>
      </c>
      <c r="H164" s="52">
        <f>IF(VLOOKUP(J164,'HOURLY RATES'!B$116:C$124,2,0)=0,$J$3,VLOOKUP(J164,'HOURLY RATES'!B$116:C$124,2,0))</f>
        <v>0.05</v>
      </c>
      <c r="I164" s="53">
        <f t="shared" si="158"/>
        <v>5035.8</v>
      </c>
      <c r="J164" s="99" t="s">
        <v>226</v>
      </c>
      <c r="K164" s="153">
        <v>1.7999999999999999E-2</v>
      </c>
      <c r="L164" s="60">
        <f t="shared" si="159"/>
        <v>90.64439999999999</v>
      </c>
      <c r="M164" s="58">
        <f>IF(VLOOKUP(E164,'HOURLY RATES'!C$6:D$105,2,0)=0,$E$3,VLOOKUP(E164,'HOURLY RATES'!C$6:D$105,2,0))</f>
        <v>54</v>
      </c>
      <c r="N164" s="58">
        <f t="shared" si="160"/>
        <v>4894.7975999999999</v>
      </c>
      <c r="O164" s="61">
        <v>0.8</v>
      </c>
      <c r="P164" s="61">
        <f t="shared" si="161"/>
        <v>4028.6400000000003</v>
      </c>
      <c r="Q164" s="62">
        <f t="shared" si="162"/>
        <v>8923.4376000000011</v>
      </c>
      <c r="R164" s="155"/>
      <c r="S164" s="131">
        <f>((((N164*(1+$D$7))+(P164*(1+$D$5+$D$6)))*(1+$D$8)))/I164</f>
        <v>2.21490864</v>
      </c>
      <c r="T164" s="130">
        <f t="shared" si="163"/>
        <v>11153.836929311999</v>
      </c>
    </row>
    <row r="165" spans="1:20" s="7" customFormat="1" ht="31.2" x14ac:dyDescent="0.25">
      <c r="A165" s="152">
        <f>IF(J165&lt;&gt;"",1+MAX($A$18:A164),"")</f>
        <v>78</v>
      </c>
      <c r="B165" s="50"/>
      <c r="C165" s="50"/>
      <c r="D165" s="100" t="s">
        <v>35</v>
      </c>
      <c r="E165" s="178" t="s">
        <v>104</v>
      </c>
      <c r="F165" s="175" t="s">
        <v>806</v>
      </c>
      <c r="G165" s="51">
        <f>435*22</f>
        <v>9570</v>
      </c>
      <c r="H165" s="52">
        <f>IF(VLOOKUP(J165,'HOURLY RATES'!B$116:C$124,2,0)=0,$J$3,VLOOKUP(J165,'HOURLY RATES'!B$116:C$124,2,0))</f>
        <v>0.05</v>
      </c>
      <c r="I165" s="53">
        <f t="shared" si="158"/>
        <v>10048.5</v>
      </c>
      <c r="J165" s="99" t="s">
        <v>226</v>
      </c>
      <c r="K165" s="153">
        <v>1.7999999999999999E-2</v>
      </c>
      <c r="L165" s="60">
        <f t="shared" si="159"/>
        <v>180.87299999999999</v>
      </c>
      <c r="M165" s="58">
        <f>IF(VLOOKUP(E165,'HOURLY RATES'!C$6:D$105,2,0)=0,$E$3,VLOOKUP(E165,'HOURLY RATES'!C$6:D$105,2,0))</f>
        <v>54</v>
      </c>
      <c r="N165" s="58">
        <f t="shared" si="160"/>
        <v>9767.1419999999998</v>
      </c>
      <c r="O165" s="61">
        <v>0.8</v>
      </c>
      <c r="P165" s="61">
        <f t="shared" si="161"/>
        <v>8038.8</v>
      </c>
      <c r="Q165" s="62">
        <f t="shared" si="162"/>
        <v>17805.941999999999</v>
      </c>
      <c r="R165" s="155"/>
      <c r="S165" s="131">
        <f>((((N165*(1+$D$7))+(P165*(1+$D$5+$D$6)))*(1+$D$8)))/I165</f>
        <v>2.21490864</v>
      </c>
      <c r="T165" s="130">
        <f t="shared" si="163"/>
        <v>22256.50946904</v>
      </c>
    </row>
    <row r="166" spans="1:20" s="7" customFormat="1" x14ac:dyDescent="0.25">
      <c r="A166" s="152"/>
      <c r="B166" s="50"/>
      <c r="C166" s="63"/>
      <c r="D166" s="100"/>
      <c r="E166" s="178"/>
      <c r="F166" s="103"/>
      <c r="G166" s="51"/>
      <c r="H166" s="52"/>
      <c r="I166" s="53"/>
      <c r="J166" s="99"/>
      <c r="K166" s="153"/>
      <c r="L166" s="60"/>
      <c r="M166" s="58"/>
      <c r="N166" s="58"/>
      <c r="O166" s="61"/>
      <c r="P166" s="61"/>
      <c r="Q166" s="62"/>
      <c r="R166" s="155"/>
      <c r="S166" s="131"/>
      <c r="T166" s="130"/>
    </row>
    <row r="167" spans="1:20" s="7" customFormat="1" x14ac:dyDescent="0.25">
      <c r="A167" s="152">
        <f>IF(J167&lt;&gt;"",1+MAX($A$18:A165),"")</f>
        <v>79</v>
      </c>
      <c r="B167" s="50"/>
      <c r="C167" s="63"/>
      <c r="D167" s="100"/>
      <c r="E167" s="178"/>
      <c r="F167" s="177" t="s">
        <v>764</v>
      </c>
      <c r="G167" s="108">
        <v>8</v>
      </c>
      <c r="H167" s="52"/>
      <c r="I167" s="53"/>
      <c r="J167" s="99" t="s">
        <v>225</v>
      </c>
      <c r="K167" s="153"/>
      <c r="L167" s="60"/>
      <c r="M167" s="58"/>
      <c r="N167" s="58"/>
      <c r="O167" s="61"/>
      <c r="P167" s="61"/>
      <c r="Q167" s="62"/>
      <c r="R167" s="155"/>
      <c r="S167" s="131"/>
      <c r="T167" s="130"/>
    </row>
    <row r="168" spans="1:20" s="7" customFormat="1" x14ac:dyDescent="0.25">
      <c r="A168" s="152" t="str">
        <f>IF(J168&lt;&gt;"",1+MAX($A$18:A167),"")</f>
        <v/>
      </c>
      <c r="B168" s="50"/>
      <c r="C168" s="63"/>
      <c r="D168" s="100"/>
      <c r="E168" s="178"/>
      <c r="F168" s="172" t="s">
        <v>722</v>
      </c>
      <c r="G168" s="51"/>
      <c r="H168" s="52"/>
      <c r="I168" s="53"/>
      <c r="J168" s="99"/>
      <c r="K168" s="153"/>
      <c r="L168" s="60"/>
      <c r="M168" s="58"/>
      <c r="N168" s="58"/>
      <c r="O168" s="61"/>
      <c r="P168" s="61"/>
      <c r="Q168" s="62"/>
      <c r="R168" s="155"/>
      <c r="S168" s="131"/>
      <c r="T168" s="130"/>
    </row>
    <row r="169" spans="1:20" s="7" customFormat="1" ht="31.2" x14ac:dyDescent="0.25">
      <c r="A169" s="152">
        <f>IF(J169&lt;&gt;"",1+MAX($A$18:A168),"")</f>
        <v>80</v>
      </c>
      <c r="B169" s="50"/>
      <c r="C169" s="50"/>
      <c r="D169" s="100" t="s">
        <v>35</v>
      </c>
      <c r="E169" s="178" t="s">
        <v>104</v>
      </c>
      <c r="F169" s="175" t="s">
        <v>758</v>
      </c>
      <c r="G169" s="51">
        <f>1142*8</f>
        <v>9136</v>
      </c>
      <c r="H169" s="52">
        <f>IF(VLOOKUP(J169,'HOURLY RATES'!B$116:C$124,2,0)=0,$J$3,VLOOKUP(J169,'HOURLY RATES'!B$116:C$124,2,0))</f>
        <v>0.05</v>
      </c>
      <c r="I169" s="53">
        <f t="shared" ref="I169" si="164">(G169*(1+H169))</f>
        <v>9592.8000000000011</v>
      </c>
      <c r="J169" s="99" t="s">
        <v>224</v>
      </c>
      <c r="K169" s="153">
        <v>2.1999999999999999E-2</v>
      </c>
      <c r="L169" s="60">
        <f t="shared" ref="L169" si="165">K169*I169</f>
        <v>211.04160000000002</v>
      </c>
      <c r="M169" s="58">
        <f>IF(VLOOKUP(E169,'HOURLY RATES'!C$6:D$105,2,0)=0,$E$3,VLOOKUP(E169,'HOURLY RATES'!C$6:D$105,2,0))</f>
        <v>54</v>
      </c>
      <c r="N169" s="58">
        <f t="shared" ref="N169" si="166">M169*L169</f>
        <v>11396.2464</v>
      </c>
      <c r="O169" s="61">
        <v>0.4</v>
      </c>
      <c r="P169" s="61">
        <f t="shared" ref="P169" si="167">O169*I169</f>
        <v>3837.1200000000008</v>
      </c>
      <c r="Q169" s="62">
        <f t="shared" ref="Q169" si="168">P169+N169</f>
        <v>15233.366400000001</v>
      </c>
      <c r="R169" s="155"/>
      <c r="S169" s="131">
        <f>((((N169*(1+$D$7))+(P169*(1+$D$5+$D$6)))*(1+$D$8)))/I169</f>
        <v>1.9624903199999997</v>
      </c>
      <c r="T169" s="130">
        <f t="shared" ref="T169" si="169">S169*I169</f>
        <v>18825.777141695999</v>
      </c>
    </row>
    <row r="170" spans="1:20" s="7" customFormat="1" x14ac:dyDescent="0.25">
      <c r="A170" s="152"/>
      <c r="B170" s="50"/>
      <c r="C170" s="63"/>
      <c r="D170" s="100"/>
      <c r="E170" s="178"/>
      <c r="F170" s="103"/>
      <c r="G170" s="51"/>
      <c r="H170" s="52"/>
      <c r="I170" s="53"/>
      <c r="J170" s="99"/>
      <c r="K170" s="153"/>
      <c r="L170" s="60"/>
      <c r="M170" s="58"/>
      <c r="N170" s="58"/>
      <c r="O170" s="61"/>
      <c r="P170" s="61"/>
      <c r="Q170" s="62"/>
      <c r="R170" s="155"/>
      <c r="S170" s="131"/>
      <c r="T170" s="130"/>
    </row>
    <row r="171" spans="1:20" s="7" customFormat="1" x14ac:dyDescent="0.25">
      <c r="A171" s="152" t="str">
        <f>IF(J171&lt;&gt;"",1+MAX($A$18:A169),"")</f>
        <v/>
      </c>
      <c r="B171" s="50"/>
      <c r="C171" s="63"/>
      <c r="D171" s="100"/>
      <c r="E171" s="178"/>
      <c r="F171" s="172" t="s">
        <v>719</v>
      </c>
      <c r="G171" s="51"/>
      <c r="H171" s="52"/>
      <c r="I171" s="53"/>
      <c r="J171" s="99"/>
      <c r="K171" s="153"/>
      <c r="L171" s="60"/>
      <c r="M171" s="58"/>
      <c r="N171" s="58"/>
      <c r="O171" s="61"/>
      <c r="P171" s="61"/>
      <c r="Q171" s="62"/>
      <c r="R171" s="155"/>
      <c r="S171" s="131"/>
      <c r="T171" s="130"/>
    </row>
    <row r="172" spans="1:20" s="7" customFormat="1" ht="31.2" x14ac:dyDescent="0.25">
      <c r="A172" s="152">
        <f>IF(J172&lt;&gt;"",1+MAX($A$18:A171),"")</f>
        <v>81</v>
      </c>
      <c r="B172" s="50"/>
      <c r="C172" s="50"/>
      <c r="D172" s="100" t="s">
        <v>35</v>
      </c>
      <c r="E172" s="178" t="s">
        <v>104</v>
      </c>
      <c r="F172" s="175" t="s">
        <v>760</v>
      </c>
      <c r="G172" s="51">
        <f>295*8</f>
        <v>2360</v>
      </c>
      <c r="H172" s="52">
        <f>IF(VLOOKUP(J172,'HOURLY RATES'!B$116:C$124,2,0)=0,$J$3,VLOOKUP(J172,'HOURLY RATES'!B$116:C$124,2,0))</f>
        <v>0.05</v>
      </c>
      <c r="I172" s="53">
        <f t="shared" ref="I172:I176" si="170">(G172*(1+H172))</f>
        <v>2478</v>
      </c>
      <c r="J172" s="99" t="s">
        <v>226</v>
      </c>
      <c r="K172" s="153">
        <v>1.7999999999999999E-2</v>
      </c>
      <c r="L172" s="60">
        <f t="shared" ref="L172" si="171">K172*I172</f>
        <v>44.603999999999999</v>
      </c>
      <c r="M172" s="58">
        <f>IF(VLOOKUP(E172,'HOURLY RATES'!C$6:D$105,2,0)=0,$E$3,VLOOKUP(E172,'HOURLY RATES'!C$6:D$105,2,0))</f>
        <v>54</v>
      </c>
      <c r="N172" s="58">
        <f t="shared" ref="N172" si="172">M172*L172</f>
        <v>2408.616</v>
      </c>
      <c r="O172" s="61">
        <v>0.8</v>
      </c>
      <c r="P172" s="61">
        <f t="shared" ref="P172:P176" si="173">O172*I172</f>
        <v>1982.4</v>
      </c>
      <c r="Q172" s="62">
        <f t="shared" ref="Q172:Q176" si="174">P172+N172</f>
        <v>4391.0159999999996</v>
      </c>
      <c r="R172" s="155"/>
      <c r="S172" s="131">
        <f>((((N172*(1+$D$7))+(P172*(1+$D$5+$D$6)))*(1+$D$8)))/I172</f>
        <v>2.21490864</v>
      </c>
      <c r="T172" s="130">
        <f t="shared" ref="T172:T176" si="175">S172*I172</f>
        <v>5488.5436099199997</v>
      </c>
    </row>
    <row r="173" spans="1:20" s="7" customFormat="1" x14ac:dyDescent="0.25">
      <c r="A173" s="152"/>
      <c r="B173" s="50"/>
      <c r="C173" s="63"/>
      <c r="D173" s="100"/>
      <c r="E173" s="178"/>
      <c r="F173" s="103"/>
      <c r="G173" s="51"/>
      <c r="H173" s="52"/>
      <c r="I173" s="53"/>
      <c r="J173" s="99"/>
      <c r="K173" s="153"/>
      <c r="L173" s="60"/>
      <c r="M173" s="58"/>
      <c r="N173" s="58"/>
      <c r="O173" s="61"/>
      <c r="P173" s="61"/>
      <c r="Q173" s="62"/>
      <c r="R173" s="155"/>
      <c r="S173" s="131"/>
      <c r="T173" s="130"/>
    </row>
    <row r="174" spans="1:20" s="7" customFormat="1" x14ac:dyDescent="0.25">
      <c r="A174" s="152" t="str">
        <f>IF(J174&lt;&gt;"",1+MAX($A$18:A172),"")</f>
        <v/>
      </c>
      <c r="B174" s="50"/>
      <c r="C174" s="63"/>
      <c r="D174" s="100"/>
      <c r="E174" s="178"/>
      <c r="F174" s="172" t="s">
        <v>223</v>
      </c>
      <c r="G174" s="51"/>
      <c r="H174" s="52"/>
      <c r="I174" s="53"/>
      <c r="J174" s="99"/>
      <c r="K174" s="153"/>
      <c r="L174" s="60"/>
      <c r="M174" s="58"/>
      <c r="N174" s="58"/>
      <c r="O174" s="61"/>
      <c r="P174" s="61"/>
      <c r="Q174" s="62"/>
      <c r="R174" s="155"/>
      <c r="S174" s="131"/>
      <c r="T174" s="130"/>
    </row>
    <row r="175" spans="1:20" s="7" customFormat="1" ht="31.2" x14ac:dyDescent="0.25">
      <c r="A175" s="152">
        <f>IF(J175&lt;&gt;"",1+MAX($A$18:A173),"")</f>
        <v>82</v>
      </c>
      <c r="B175" s="50"/>
      <c r="C175" s="50"/>
      <c r="D175" s="100" t="s">
        <v>35</v>
      </c>
      <c r="E175" s="178" t="s">
        <v>104</v>
      </c>
      <c r="F175" s="175" t="s">
        <v>757</v>
      </c>
      <c r="G175" s="51">
        <f>2363*8</f>
        <v>18904</v>
      </c>
      <c r="H175" s="52">
        <f>IF(VLOOKUP(J175,'HOURLY RATES'!B$116:C$124,2,0)=0,$J$3,VLOOKUP(J175,'HOURLY RATES'!B$116:C$124,2,0))</f>
        <v>0.05</v>
      </c>
      <c r="I175" s="53">
        <f t="shared" ref="I175" si="176">(G175*(1+H175))</f>
        <v>19849.2</v>
      </c>
      <c r="J175" s="99" t="s">
        <v>224</v>
      </c>
      <c r="K175" s="153">
        <v>0.02</v>
      </c>
      <c r="L175" s="60">
        <f t="shared" ref="L175:L176" si="177">K175*I175</f>
        <v>396.98400000000004</v>
      </c>
      <c r="M175" s="58">
        <f>IF(VLOOKUP(E175,'HOURLY RATES'!C$6:D$105,2,0)=0,$E$3,VLOOKUP(E175,'HOURLY RATES'!C$6:D$105,2,0))</f>
        <v>54</v>
      </c>
      <c r="N175" s="58">
        <f t="shared" ref="N175:N176" si="178">M175*L175</f>
        <v>21437.136000000002</v>
      </c>
      <c r="O175" s="61">
        <v>0.4</v>
      </c>
      <c r="P175" s="61">
        <f t="shared" ref="P175" si="179">O175*I175</f>
        <v>7939.68</v>
      </c>
      <c r="Q175" s="62">
        <f t="shared" ref="Q175" si="180">P175+N175</f>
        <v>29376.816000000003</v>
      </c>
      <c r="R175" s="155"/>
      <c r="S175" s="131">
        <f>((((N175*(1+$D$7))+(P175*(1+$D$5+$D$6)))*(1+$D$8)))/I175</f>
        <v>1.8309463199999998</v>
      </c>
      <c r="T175" s="130">
        <f t="shared" ref="T175" si="181">S175*I175</f>
        <v>36342.819694943995</v>
      </c>
    </row>
    <row r="176" spans="1:20" s="7" customFormat="1" ht="31.2" x14ac:dyDescent="0.25">
      <c r="A176" s="152">
        <f>IF(J176&lt;&gt;"",1+MAX($A$18:A174),"")</f>
        <v>82</v>
      </c>
      <c r="B176" s="50"/>
      <c r="C176" s="50"/>
      <c r="D176" s="100" t="s">
        <v>35</v>
      </c>
      <c r="E176" s="178" t="s">
        <v>104</v>
      </c>
      <c r="F176" s="175" t="s">
        <v>759</v>
      </c>
      <c r="G176" s="51">
        <f>447*8</f>
        <v>3576</v>
      </c>
      <c r="H176" s="52">
        <f>IF(VLOOKUP(J176,'HOURLY RATES'!B$116:C$124,2,0)=0,$J$3,VLOOKUP(J176,'HOURLY RATES'!B$116:C$124,2,0))</f>
        <v>0.05</v>
      </c>
      <c r="I176" s="53">
        <f t="shared" si="170"/>
        <v>3754.8</v>
      </c>
      <c r="J176" s="99" t="s">
        <v>224</v>
      </c>
      <c r="K176" s="153">
        <v>0.02</v>
      </c>
      <c r="L176" s="60">
        <f t="shared" si="177"/>
        <v>75.096000000000004</v>
      </c>
      <c r="M176" s="58">
        <f>IF(VLOOKUP(E176,'HOURLY RATES'!C$6:D$105,2,0)=0,$E$3,VLOOKUP(E176,'HOURLY RATES'!C$6:D$105,2,0))</f>
        <v>54</v>
      </c>
      <c r="N176" s="58">
        <f t="shared" si="178"/>
        <v>4055.1840000000002</v>
      </c>
      <c r="O176" s="61">
        <v>0.4</v>
      </c>
      <c r="P176" s="61">
        <f t="shared" si="173"/>
        <v>1501.92</v>
      </c>
      <c r="Q176" s="62">
        <f t="shared" si="174"/>
        <v>5557.1040000000003</v>
      </c>
      <c r="R176" s="155"/>
      <c r="S176" s="131">
        <f>((((N176*(1+$D$7))+(P176*(1+$D$5+$D$6)))*(1+$D$8)))/I176</f>
        <v>1.8309463199999998</v>
      </c>
      <c r="T176" s="130">
        <f t="shared" si="175"/>
        <v>6874.8372423359997</v>
      </c>
    </row>
    <row r="177" spans="1:20" s="7" customFormat="1" x14ac:dyDescent="0.25">
      <c r="A177" s="152"/>
      <c r="B177" s="50"/>
      <c r="C177" s="63"/>
      <c r="D177" s="100"/>
      <c r="E177" s="178"/>
      <c r="F177" s="103"/>
      <c r="G177" s="51"/>
      <c r="H177" s="52"/>
      <c r="I177" s="53"/>
      <c r="J177" s="99"/>
      <c r="K177" s="153"/>
      <c r="L177" s="60"/>
      <c r="M177" s="58"/>
      <c r="N177" s="58"/>
      <c r="O177" s="61"/>
      <c r="P177" s="61"/>
      <c r="Q177" s="62"/>
      <c r="R177" s="155"/>
      <c r="S177" s="131"/>
      <c r="T177" s="130"/>
    </row>
    <row r="178" spans="1:20" s="7" customFormat="1" x14ac:dyDescent="0.25">
      <c r="A178" s="152" t="str">
        <f>IF(J178&lt;&gt;"",1+MAX($A$18:A176),"")</f>
        <v/>
      </c>
      <c r="B178" s="50"/>
      <c r="C178" s="63"/>
      <c r="D178" s="100"/>
      <c r="E178" s="178"/>
      <c r="F178" s="172" t="s">
        <v>723</v>
      </c>
      <c r="G178" s="51"/>
      <c r="H178" s="52"/>
      <c r="I178" s="53"/>
      <c r="J178" s="99"/>
      <c r="K178" s="153"/>
      <c r="L178" s="60"/>
      <c r="M178" s="58"/>
      <c r="N178" s="58"/>
      <c r="O178" s="61"/>
      <c r="P178" s="61"/>
      <c r="Q178" s="62"/>
      <c r="R178" s="155"/>
      <c r="S178" s="131"/>
      <c r="T178" s="130"/>
    </row>
    <row r="179" spans="1:20" s="7" customFormat="1" ht="31.2" x14ac:dyDescent="0.25">
      <c r="A179" s="152">
        <f>IF(J179&lt;&gt;"",1+MAX($A$18:A178),"")</f>
        <v>83</v>
      </c>
      <c r="B179" s="50"/>
      <c r="C179" s="50"/>
      <c r="D179" s="100" t="s">
        <v>35</v>
      </c>
      <c r="E179" s="178" t="s">
        <v>104</v>
      </c>
      <c r="F179" s="175" t="s">
        <v>804</v>
      </c>
      <c r="G179" s="51">
        <f>10*8</f>
        <v>80</v>
      </c>
      <c r="H179" s="52">
        <f>IF(VLOOKUP(J179,'HOURLY RATES'!B$116:C$124,2,0)=0,$J$3,VLOOKUP(J179,'HOURLY RATES'!B$116:C$124,2,0))</f>
        <v>0</v>
      </c>
      <c r="I179" s="53">
        <f t="shared" ref="I179:I181" si="182">(G179*(1+H179))</f>
        <v>80</v>
      </c>
      <c r="J179" s="99" t="s">
        <v>225</v>
      </c>
      <c r="K179" s="153">
        <v>1.23</v>
      </c>
      <c r="L179" s="60">
        <f t="shared" ref="L179:L181" si="183">K179*I179</f>
        <v>98.4</v>
      </c>
      <c r="M179" s="58">
        <f>IF(VLOOKUP(E179,'HOURLY RATES'!C$6:D$105,2,0)=0,$E$3,VLOOKUP(E179,'HOURLY RATES'!C$6:D$105,2,0))</f>
        <v>54</v>
      </c>
      <c r="N179" s="58">
        <f t="shared" ref="N179:N181" si="184">M179*L179</f>
        <v>5313.6</v>
      </c>
      <c r="O179" s="61">
        <v>28</v>
      </c>
      <c r="P179" s="61">
        <f t="shared" ref="P179:P181" si="185">O179*I179</f>
        <v>2240</v>
      </c>
      <c r="Q179" s="62">
        <f t="shared" ref="Q179:Q181" si="186">P179+N179</f>
        <v>7553.6</v>
      </c>
      <c r="R179" s="155"/>
      <c r="S179" s="131">
        <f>((((N179*(1+$D$7))+(P179*(1+$D$5+$D$6)))*(1+$D$8)))/I179</f>
        <v>116.98500239999998</v>
      </c>
      <c r="T179" s="130">
        <f t="shared" ref="T179:T181" si="187">S179*I179</f>
        <v>9358.8001919999988</v>
      </c>
    </row>
    <row r="180" spans="1:20" s="7" customFormat="1" ht="31.2" x14ac:dyDescent="0.25">
      <c r="A180" s="152">
        <f>IF(J180&lt;&gt;"",1+MAX($A$18:A179),"")</f>
        <v>84</v>
      </c>
      <c r="B180" s="50"/>
      <c r="C180" s="50"/>
      <c r="D180" s="100" t="s">
        <v>35</v>
      </c>
      <c r="E180" s="178" t="s">
        <v>104</v>
      </c>
      <c r="F180" s="175" t="s">
        <v>805</v>
      </c>
      <c r="G180" s="51">
        <f>170*8</f>
        <v>1360</v>
      </c>
      <c r="H180" s="52">
        <f>IF(VLOOKUP(J180,'HOURLY RATES'!B$116:C$124,2,0)=0,$J$3,VLOOKUP(J180,'HOURLY RATES'!B$116:C$124,2,0))</f>
        <v>0.05</v>
      </c>
      <c r="I180" s="53">
        <f t="shared" si="182"/>
        <v>1428</v>
      </c>
      <c r="J180" s="99" t="s">
        <v>226</v>
      </c>
      <c r="K180" s="153">
        <v>1.7999999999999999E-2</v>
      </c>
      <c r="L180" s="60">
        <f t="shared" si="183"/>
        <v>25.703999999999997</v>
      </c>
      <c r="M180" s="58">
        <f>IF(VLOOKUP(E180,'HOURLY RATES'!C$6:D$105,2,0)=0,$E$3,VLOOKUP(E180,'HOURLY RATES'!C$6:D$105,2,0))</f>
        <v>54</v>
      </c>
      <c r="N180" s="58">
        <f t="shared" si="184"/>
        <v>1388.0159999999998</v>
      </c>
      <c r="O180" s="61">
        <v>0.8</v>
      </c>
      <c r="P180" s="61">
        <f t="shared" si="185"/>
        <v>1142.4000000000001</v>
      </c>
      <c r="Q180" s="62">
        <f t="shared" si="186"/>
        <v>2530.4160000000002</v>
      </c>
      <c r="R180" s="155"/>
      <c r="S180" s="131">
        <f>((((N180*(1+$D$7))+(P180*(1+$D$5+$D$6)))*(1+$D$8)))/I180</f>
        <v>2.21490864</v>
      </c>
      <c r="T180" s="130">
        <f t="shared" si="187"/>
        <v>3162.8895379199998</v>
      </c>
    </row>
    <row r="181" spans="1:20" s="7" customFormat="1" ht="31.2" x14ac:dyDescent="0.25">
      <c r="A181" s="152">
        <f>IF(J181&lt;&gt;"",1+MAX($A$18:A180),"")</f>
        <v>85</v>
      </c>
      <c r="B181" s="50"/>
      <c r="C181" s="50"/>
      <c r="D181" s="100" t="s">
        <v>35</v>
      </c>
      <c r="E181" s="178" t="s">
        <v>104</v>
      </c>
      <c r="F181" s="175" t="s">
        <v>806</v>
      </c>
      <c r="G181" s="51">
        <f>339*8</f>
        <v>2712</v>
      </c>
      <c r="H181" s="52">
        <f>IF(VLOOKUP(J181,'HOURLY RATES'!B$116:C$124,2,0)=0,$J$3,VLOOKUP(J181,'HOURLY RATES'!B$116:C$124,2,0))</f>
        <v>0.05</v>
      </c>
      <c r="I181" s="53">
        <f t="shared" si="182"/>
        <v>2847.6</v>
      </c>
      <c r="J181" s="99" t="s">
        <v>226</v>
      </c>
      <c r="K181" s="153">
        <v>1.7999999999999999E-2</v>
      </c>
      <c r="L181" s="60">
        <f t="shared" si="183"/>
        <v>51.256799999999991</v>
      </c>
      <c r="M181" s="58">
        <f>IF(VLOOKUP(E181,'HOURLY RATES'!C$6:D$105,2,0)=0,$E$3,VLOOKUP(E181,'HOURLY RATES'!C$6:D$105,2,0))</f>
        <v>54</v>
      </c>
      <c r="N181" s="58">
        <f t="shared" si="184"/>
        <v>2767.8671999999997</v>
      </c>
      <c r="O181" s="61">
        <v>0.8</v>
      </c>
      <c r="P181" s="61">
        <f t="shared" si="185"/>
        <v>2278.08</v>
      </c>
      <c r="Q181" s="62">
        <f t="shared" si="186"/>
        <v>5045.9471999999996</v>
      </c>
      <c r="R181" s="155"/>
      <c r="S181" s="131">
        <f>((((N181*(1+$D$7))+(P181*(1+$D$5+$D$6)))*(1+$D$8)))/I181</f>
        <v>2.2149086399999995</v>
      </c>
      <c r="T181" s="130">
        <f t="shared" si="187"/>
        <v>6307.1738432639986</v>
      </c>
    </row>
    <row r="182" spans="1:20" s="7" customFormat="1" x14ac:dyDescent="0.25">
      <c r="A182" s="152"/>
      <c r="B182" s="50"/>
      <c r="C182" s="63"/>
      <c r="D182" s="100"/>
      <c r="E182" s="178"/>
      <c r="F182" s="103"/>
      <c r="G182" s="51"/>
      <c r="H182" s="52"/>
      <c r="I182" s="53"/>
      <c r="J182" s="99"/>
      <c r="K182" s="153"/>
      <c r="L182" s="60"/>
      <c r="M182" s="58"/>
      <c r="N182" s="58"/>
      <c r="O182" s="61"/>
      <c r="P182" s="61"/>
      <c r="Q182" s="62"/>
      <c r="R182" s="155"/>
      <c r="S182" s="131"/>
      <c r="T182" s="130"/>
    </row>
    <row r="183" spans="1:20" s="7" customFormat="1" x14ac:dyDescent="0.25">
      <c r="A183" s="152">
        <f>IF(J183&lt;&gt;"",1+MAX($A$18:A181),"")</f>
        <v>86</v>
      </c>
      <c r="B183" s="50"/>
      <c r="C183" s="63"/>
      <c r="D183" s="100"/>
      <c r="E183" s="178"/>
      <c r="F183" s="177" t="s">
        <v>765</v>
      </c>
      <c r="G183" s="108">
        <v>4</v>
      </c>
      <c r="H183" s="52"/>
      <c r="I183" s="53"/>
      <c r="J183" s="99" t="s">
        <v>225</v>
      </c>
      <c r="K183" s="153"/>
      <c r="L183" s="60"/>
      <c r="M183" s="58"/>
      <c r="N183" s="58"/>
      <c r="O183" s="61"/>
      <c r="P183" s="61"/>
      <c r="Q183" s="62"/>
      <c r="R183" s="155"/>
      <c r="S183" s="131"/>
      <c r="T183" s="130"/>
    </row>
    <row r="184" spans="1:20" s="7" customFormat="1" x14ac:dyDescent="0.25">
      <c r="A184" s="152" t="str">
        <f>IF(J184&lt;&gt;"",1+MAX($A$18:A183),"")</f>
        <v/>
      </c>
      <c r="B184" s="50"/>
      <c r="C184" s="63"/>
      <c r="D184" s="100"/>
      <c r="E184" s="178"/>
      <c r="F184" s="172" t="s">
        <v>722</v>
      </c>
      <c r="G184" s="51"/>
      <c r="H184" s="52"/>
      <c r="I184" s="53"/>
      <c r="J184" s="99"/>
      <c r="K184" s="153"/>
      <c r="L184" s="60"/>
      <c r="M184" s="58"/>
      <c r="N184" s="58"/>
      <c r="O184" s="61"/>
      <c r="P184" s="61"/>
      <c r="Q184" s="62"/>
      <c r="R184" s="155"/>
      <c r="S184" s="131"/>
      <c r="T184" s="130"/>
    </row>
    <row r="185" spans="1:20" s="7" customFormat="1" ht="31.2" x14ac:dyDescent="0.25">
      <c r="A185" s="152">
        <f>IF(J185&lt;&gt;"",1+MAX($A$18:A184),"")</f>
        <v>87</v>
      </c>
      <c r="B185" s="50"/>
      <c r="C185" s="50"/>
      <c r="D185" s="100" t="s">
        <v>35</v>
      </c>
      <c r="E185" s="178" t="s">
        <v>104</v>
      </c>
      <c r="F185" s="175" t="s">
        <v>758</v>
      </c>
      <c r="G185" s="51">
        <f>1127*4</f>
        <v>4508</v>
      </c>
      <c r="H185" s="52">
        <f>IF(VLOOKUP(J185,'HOURLY RATES'!B$116:C$124,2,0)=0,$J$3,VLOOKUP(J185,'HOURLY RATES'!B$116:C$124,2,0))</f>
        <v>0.05</v>
      </c>
      <c r="I185" s="53">
        <f t="shared" ref="I185" si="188">(G185*(1+H185))</f>
        <v>4733.4000000000005</v>
      </c>
      <c r="J185" s="99" t="s">
        <v>224</v>
      </c>
      <c r="K185" s="153">
        <v>2.1999999999999999E-2</v>
      </c>
      <c r="L185" s="60">
        <f t="shared" ref="L185" si="189">K185*I185</f>
        <v>104.13480000000001</v>
      </c>
      <c r="M185" s="58">
        <f>IF(VLOOKUP(E185,'HOURLY RATES'!C$6:D$105,2,0)=0,$E$3,VLOOKUP(E185,'HOURLY RATES'!C$6:D$105,2,0))</f>
        <v>54</v>
      </c>
      <c r="N185" s="58">
        <f t="shared" ref="N185" si="190">M185*L185</f>
        <v>5623.2792000000009</v>
      </c>
      <c r="O185" s="61">
        <v>0.4</v>
      </c>
      <c r="P185" s="61">
        <f t="shared" ref="P185" si="191">O185*I185</f>
        <v>1893.3600000000004</v>
      </c>
      <c r="Q185" s="62">
        <f t="shared" ref="Q185" si="192">P185+N185</f>
        <v>7516.6392000000014</v>
      </c>
      <c r="R185" s="155"/>
      <c r="S185" s="131">
        <f>((((N185*(1+$D$7))+(P185*(1+$D$5+$D$6)))*(1+$D$8)))/I185</f>
        <v>1.9624903200000001</v>
      </c>
      <c r="T185" s="130">
        <f t="shared" ref="T185" si="193">S185*I185</f>
        <v>9289.2516806880012</v>
      </c>
    </row>
    <row r="186" spans="1:20" s="7" customFormat="1" x14ac:dyDescent="0.25">
      <c r="A186" s="152"/>
      <c r="B186" s="50"/>
      <c r="C186" s="63"/>
      <c r="D186" s="100"/>
      <c r="E186" s="178"/>
      <c r="F186" s="103"/>
      <c r="G186" s="51"/>
      <c r="H186" s="52"/>
      <c r="I186" s="53"/>
      <c r="J186" s="99"/>
      <c r="K186" s="153"/>
      <c r="L186" s="60"/>
      <c r="M186" s="58"/>
      <c r="N186" s="58"/>
      <c r="O186" s="61"/>
      <c r="P186" s="61"/>
      <c r="Q186" s="62"/>
      <c r="R186" s="155"/>
      <c r="S186" s="131"/>
      <c r="T186" s="130"/>
    </row>
    <row r="187" spans="1:20" s="7" customFormat="1" x14ac:dyDescent="0.25">
      <c r="A187" s="152" t="str">
        <f>IF(J187&lt;&gt;"",1+MAX($A$18:A185),"")</f>
        <v/>
      </c>
      <c r="B187" s="50"/>
      <c r="C187" s="63"/>
      <c r="D187" s="100"/>
      <c r="E187" s="178"/>
      <c r="F187" s="172" t="s">
        <v>719</v>
      </c>
      <c r="G187" s="51"/>
      <c r="H187" s="52"/>
      <c r="I187" s="53"/>
      <c r="J187" s="99"/>
      <c r="K187" s="153"/>
      <c r="L187" s="60"/>
      <c r="M187" s="58"/>
      <c r="N187" s="58"/>
      <c r="O187" s="61"/>
      <c r="P187" s="61"/>
      <c r="Q187" s="62"/>
      <c r="R187" s="155"/>
      <c r="S187" s="131"/>
      <c r="T187" s="130"/>
    </row>
    <row r="188" spans="1:20" s="7" customFormat="1" ht="31.2" x14ac:dyDescent="0.25">
      <c r="A188" s="152">
        <f>IF(J188&lt;&gt;"",1+MAX($A$18:A187),"")</f>
        <v>88</v>
      </c>
      <c r="B188" s="50"/>
      <c r="C188" s="50"/>
      <c r="D188" s="100" t="s">
        <v>35</v>
      </c>
      <c r="E188" s="178" t="s">
        <v>104</v>
      </c>
      <c r="F188" s="175" t="s">
        <v>760</v>
      </c>
      <c r="G188" s="51">
        <f>320*4</f>
        <v>1280</v>
      </c>
      <c r="H188" s="52">
        <f>IF(VLOOKUP(J188,'HOURLY RATES'!B$116:C$124,2,0)=0,$J$3,VLOOKUP(J188,'HOURLY RATES'!B$116:C$124,2,0))</f>
        <v>0.05</v>
      </c>
      <c r="I188" s="53">
        <f t="shared" ref="I188" si="194">(G188*(1+H188))</f>
        <v>1344</v>
      </c>
      <c r="J188" s="99" t="s">
        <v>226</v>
      </c>
      <c r="K188" s="153">
        <v>1.7999999999999999E-2</v>
      </c>
      <c r="L188" s="60">
        <f t="shared" ref="L188" si="195">K188*I188</f>
        <v>24.191999999999997</v>
      </c>
      <c r="M188" s="58">
        <f>IF(VLOOKUP(E188,'HOURLY RATES'!C$6:D$105,2,0)=0,$E$3,VLOOKUP(E188,'HOURLY RATES'!C$6:D$105,2,0))</f>
        <v>54</v>
      </c>
      <c r="N188" s="58">
        <f t="shared" ref="N188" si="196">M188*L188</f>
        <v>1306.3679999999997</v>
      </c>
      <c r="O188" s="61">
        <v>0.8</v>
      </c>
      <c r="P188" s="61">
        <f t="shared" ref="P188" si="197">O188*I188</f>
        <v>1075.2</v>
      </c>
      <c r="Q188" s="62">
        <f t="shared" ref="Q188" si="198">P188+N188</f>
        <v>2381.5679999999998</v>
      </c>
      <c r="R188" s="155"/>
      <c r="S188" s="131">
        <f>((((N188*(1+$D$7))+(P188*(1+$D$5+$D$6)))*(1+$D$8)))/I188</f>
        <v>2.2149086399999995</v>
      </c>
      <c r="T188" s="130">
        <f t="shared" ref="T188" si="199">S188*I188</f>
        <v>2976.8372121599996</v>
      </c>
    </row>
    <row r="189" spans="1:20" s="7" customFormat="1" x14ac:dyDescent="0.25">
      <c r="A189" s="152"/>
      <c r="B189" s="50"/>
      <c r="C189" s="63"/>
      <c r="D189" s="100"/>
      <c r="E189" s="178"/>
      <c r="F189" s="103"/>
      <c r="G189" s="51"/>
      <c r="H189" s="52"/>
      <c r="I189" s="53"/>
      <c r="J189" s="99"/>
      <c r="K189" s="153"/>
      <c r="L189" s="60"/>
      <c r="M189" s="58"/>
      <c r="N189" s="58"/>
      <c r="O189" s="61"/>
      <c r="P189" s="61"/>
      <c r="Q189" s="62"/>
      <c r="R189" s="155"/>
      <c r="S189" s="131"/>
      <c r="T189" s="130"/>
    </row>
    <row r="190" spans="1:20" s="7" customFormat="1" x14ac:dyDescent="0.25">
      <c r="A190" s="152" t="str">
        <f>IF(J190&lt;&gt;"",1+MAX($A$18:A188),"")</f>
        <v/>
      </c>
      <c r="B190" s="50"/>
      <c r="C190" s="63"/>
      <c r="D190" s="100"/>
      <c r="E190" s="178"/>
      <c r="F190" s="172" t="s">
        <v>223</v>
      </c>
      <c r="G190" s="51"/>
      <c r="H190" s="52"/>
      <c r="I190" s="53"/>
      <c r="J190" s="99"/>
      <c r="K190" s="153"/>
      <c r="L190" s="60"/>
      <c r="M190" s="58"/>
      <c r="N190" s="58"/>
      <c r="O190" s="61"/>
      <c r="P190" s="61"/>
      <c r="Q190" s="62"/>
      <c r="R190" s="155"/>
      <c r="S190" s="131"/>
      <c r="T190" s="130"/>
    </row>
    <row r="191" spans="1:20" s="7" customFormat="1" ht="31.2" x14ac:dyDescent="0.25">
      <c r="A191" s="152">
        <f>IF(J191&lt;&gt;"",1+MAX($A$18:A189),"")</f>
        <v>89</v>
      </c>
      <c r="B191" s="50"/>
      <c r="C191" s="50"/>
      <c r="D191" s="100" t="s">
        <v>35</v>
      </c>
      <c r="E191" s="178" t="s">
        <v>104</v>
      </c>
      <c r="F191" s="175" t="s">
        <v>757</v>
      </c>
      <c r="G191" s="51">
        <f>2387*4</f>
        <v>9548</v>
      </c>
      <c r="H191" s="52">
        <f>IF(VLOOKUP(J191,'HOURLY RATES'!B$116:C$124,2,0)=0,$J$3,VLOOKUP(J191,'HOURLY RATES'!B$116:C$124,2,0))</f>
        <v>0.05</v>
      </c>
      <c r="I191" s="53">
        <f t="shared" ref="I191:I192" si="200">(G191*(1+H191))</f>
        <v>10025.4</v>
      </c>
      <c r="J191" s="99" t="s">
        <v>224</v>
      </c>
      <c r="K191" s="153">
        <v>0.02</v>
      </c>
      <c r="L191" s="60">
        <f t="shared" ref="L191:L192" si="201">K191*I191</f>
        <v>200.50800000000001</v>
      </c>
      <c r="M191" s="58">
        <f>IF(VLOOKUP(E191,'HOURLY RATES'!C$6:D$105,2,0)=0,$E$3,VLOOKUP(E191,'HOURLY RATES'!C$6:D$105,2,0))</f>
        <v>54</v>
      </c>
      <c r="N191" s="58">
        <f t="shared" ref="N191:N192" si="202">M191*L191</f>
        <v>10827.432000000001</v>
      </c>
      <c r="O191" s="61">
        <v>0.4</v>
      </c>
      <c r="P191" s="61">
        <f t="shared" ref="P191:P192" si="203">O191*I191</f>
        <v>4010.16</v>
      </c>
      <c r="Q191" s="62">
        <f t="shared" ref="Q191:Q192" si="204">P191+N191</f>
        <v>14837.592000000001</v>
      </c>
      <c r="R191" s="155"/>
      <c r="S191" s="131">
        <f>((((N191*(1+$D$7))+(P191*(1+$D$5+$D$6)))*(1+$D$8)))/I191</f>
        <v>1.83094632</v>
      </c>
      <c r="T191" s="130">
        <f t="shared" ref="T191:T192" si="205">S191*I191</f>
        <v>18355.969236527999</v>
      </c>
    </row>
    <row r="192" spans="1:20" s="7" customFormat="1" ht="31.2" x14ac:dyDescent="0.25">
      <c r="A192" s="152">
        <f>IF(J192&lt;&gt;"",1+MAX($A$18:A190),"")</f>
        <v>89</v>
      </c>
      <c r="B192" s="50"/>
      <c r="C192" s="50"/>
      <c r="D192" s="100" t="s">
        <v>35</v>
      </c>
      <c r="E192" s="178" t="s">
        <v>104</v>
      </c>
      <c r="F192" s="175" t="s">
        <v>759</v>
      </c>
      <c r="G192" s="51">
        <f>409*4</f>
        <v>1636</v>
      </c>
      <c r="H192" s="52">
        <f>IF(VLOOKUP(J192,'HOURLY RATES'!B$116:C$124,2,0)=0,$J$3,VLOOKUP(J192,'HOURLY RATES'!B$116:C$124,2,0))</f>
        <v>0.05</v>
      </c>
      <c r="I192" s="53">
        <f t="shared" si="200"/>
        <v>1717.8000000000002</v>
      </c>
      <c r="J192" s="99" t="s">
        <v>224</v>
      </c>
      <c r="K192" s="153">
        <v>0.02</v>
      </c>
      <c r="L192" s="60">
        <f t="shared" si="201"/>
        <v>34.356000000000002</v>
      </c>
      <c r="M192" s="58">
        <f>IF(VLOOKUP(E192,'HOURLY RATES'!C$6:D$105,2,0)=0,$E$3,VLOOKUP(E192,'HOURLY RATES'!C$6:D$105,2,0))</f>
        <v>54</v>
      </c>
      <c r="N192" s="58">
        <f t="shared" si="202"/>
        <v>1855.2240000000002</v>
      </c>
      <c r="O192" s="61">
        <v>0.4</v>
      </c>
      <c r="P192" s="61">
        <f t="shared" si="203"/>
        <v>687.12000000000012</v>
      </c>
      <c r="Q192" s="62">
        <f t="shared" si="204"/>
        <v>2542.3440000000001</v>
      </c>
      <c r="R192" s="155"/>
      <c r="S192" s="131">
        <f>((((N192*(1+$D$7))+(P192*(1+$D$5+$D$6)))*(1+$D$8)))/I192</f>
        <v>1.8309463199999996</v>
      </c>
      <c r="T192" s="130">
        <f t="shared" si="205"/>
        <v>3145.1995884959997</v>
      </c>
    </row>
    <row r="193" spans="1:20" s="7" customFormat="1" x14ac:dyDescent="0.25">
      <c r="A193" s="152"/>
      <c r="B193" s="50"/>
      <c r="C193" s="63"/>
      <c r="D193" s="100"/>
      <c r="E193" s="178"/>
      <c r="F193" s="103"/>
      <c r="G193" s="51"/>
      <c r="H193" s="52"/>
      <c r="I193" s="53"/>
      <c r="J193" s="99"/>
      <c r="K193" s="153"/>
      <c r="L193" s="60"/>
      <c r="M193" s="58"/>
      <c r="N193" s="58"/>
      <c r="O193" s="61"/>
      <c r="P193" s="61"/>
      <c r="Q193" s="62"/>
      <c r="R193" s="155"/>
      <c r="S193" s="131"/>
      <c r="T193" s="130"/>
    </row>
    <row r="194" spans="1:20" s="7" customFormat="1" x14ac:dyDescent="0.25">
      <c r="A194" s="152" t="str">
        <f>IF(J194&lt;&gt;"",1+MAX($A$18:A192),"")</f>
        <v/>
      </c>
      <c r="B194" s="50"/>
      <c r="C194" s="63"/>
      <c r="D194" s="100"/>
      <c r="E194" s="178"/>
      <c r="F194" s="172" t="s">
        <v>723</v>
      </c>
      <c r="G194" s="51"/>
      <c r="H194" s="52"/>
      <c r="I194" s="53"/>
      <c r="J194" s="99"/>
      <c r="K194" s="153"/>
      <c r="L194" s="60"/>
      <c r="M194" s="58"/>
      <c r="N194" s="58"/>
      <c r="O194" s="61"/>
      <c r="P194" s="61"/>
      <c r="Q194" s="62"/>
      <c r="R194" s="155"/>
      <c r="S194" s="131"/>
      <c r="T194" s="130"/>
    </row>
    <row r="195" spans="1:20" s="7" customFormat="1" ht="31.2" x14ac:dyDescent="0.25">
      <c r="A195" s="152">
        <f>IF(J195&lt;&gt;"",1+MAX($A$18:A194),"")</f>
        <v>90</v>
      </c>
      <c r="B195" s="50"/>
      <c r="C195" s="50"/>
      <c r="D195" s="100" t="s">
        <v>35</v>
      </c>
      <c r="E195" s="178" t="s">
        <v>104</v>
      </c>
      <c r="F195" s="175" t="s">
        <v>804</v>
      </c>
      <c r="G195" s="51">
        <f>12*4</f>
        <v>48</v>
      </c>
      <c r="H195" s="52">
        <f>IF(VLOOKUP(J195,'HOURLY RATES'!B$116:C$124,2,0)=0,$J$3,VLOOKUP(J195,'HOURLY RATES'!B$116:C$124,2,0))</f>
        <v>0</v>
      </c>
      <c r="I195" s="53">
        <f t="shared" ref="I195:I197" si="206">(G195*(1+H195))</f>
        <v>48</v>
      </c>
      <c r="J195" s="99" t="s">
        <v>225</v>
      </c>
      <c r="K195" s="153">
        <v>1.23</v>
      </c>
      <c r="L195" s="60">
        <f t="shared" ref="L195:L197" si="207">K195*I195</f>
        <v>59.04</v>
      </c>
      <c r="M195" s="58">
        <f>IF(VLOOKUP(E195,'HOURLY RATES'!C$6:D$105,2,0)=0,$E$3,VLOOKUP(E195,'HOURLY RATES'!C$6:D$105,2,0))</f>
        <v>54</v>
      </c>
      <c r="N195" s="58">
        <f t="shared" ref="N195:N197" si="208">M195*L195</f>
        <v>3188.16</v>
      </c>
      <c r="O195" s="61">
        <v>28</v>
      </c>
      <c r="P195" s="61">
        <f t="shared" ref="P195:P197" si="209">O195*I195</f>
        <v>1344</v>
      </c>
      <c r="Q195" s="62">
        <f t="shared" ref="Q195:Q197" si="210">P195+N195</f>
        <v>4532.16</v>
      </c>
      <c r="R195" s="155"/>
      <c r="S195" s="131">
        <f>((((N195*(1+$D$7))+(P195*(1+$D$5+$D$6)))*(1+$D$8)))/I195</f>
        <v>116.98500239999997</v>
      </c>
      <c r="T195" s="130">
        <f t="shared" ref="T195:T197" si="211">S195*I195</f>
        <v>5615.2801151999984</v>
      </c>
    </row>
    <row r="196" spans="1:20" s="7" customFormat="1" ht="31.2" x14ac:dyDescent="0.25">
      <c r="A196" s="152">
        <f>IF(J196&lt;&gt;"",1+MAX($A$18:A195),"")</f>
        <v>91</v>
      </c>
      <c r="B196" s="50"/>
      <c r="C196" s="50"/>
      <c r="D196" s="100" t="s">
        <v>35</v>
      </c>
      <c r="E196" s="178" t="s">
        <v>104</v>
      </c>
      <c r="F196" s="175" t="s">
        <v>805</v>
      </c>
      <c r="G196" s="51">
        <f>217*4</f>
        <v>868</v>
      </c>
      <c r="H196" s="52">
        <f>IF(VLOOKUP(J196,'HOURLY RATES'!B$116:C$124,2,0)=0,$J$3,VLOOKUP(J196,'HOURLY RATES'!B$116:C$124,2,0))</f>
        <v>0.05</v>
      </c>
      <c r="I196" s="53">
        <f t="shared" si="206"/>
        <v>911.40000000000009</v>
      </c>
      <c r="J196" s="99" t="s">
        <v>226</v>
      </c>
      <c r="K196" s="153">
        <v>1.7999999999999999E-2</v>
      </c>
      <c r="L196" s="60">
        <f t="shared" si="207"/>
        <v>16.405200000000001</v>
      </c>
      <c r="M196" s="58">
        <f>IF(VLOOKUP(E196,'HOURLY RATES'!C$6:D$105,2,0)=0,$E$3,VLOOKUP(E196,'HOURLY RATES'!C$6:D$105,2,0))</f>
        <v>54</v>
      </c>
      <c r="N196" s="58">
        <f t="shared" si="208"/>
        <v>885.88080000000002</v>
      </c>
      <c r="O196" s="61">
        <v>0.8</v>
      </c>
      <c r="P196" s="61">
        <f t="shared" si="209"/>
        <v>729.12000000000012</v>
      </c>
      <c r="Q196" s="62">
        <f t="shared" si="210"/>
        <v>1615.0008000000003</v>
      </c>
      <c r="R196" s="155"/>
      <c r="S196" s="131">
        <f>((((N196*(1+$D$7))+(P196*(1+$D$5+$D$6)))*(1+$D$8)))/I196</f>
        <v>2.2149086399999995</v>
      </c>
      <c r="T196" s="130">
        <f t="shared" si="211"/>
        <v>2018.6677344959999</v>
      </c>
    </row>
    <row r="197" spans="1:20" s="7" customFormat="1" ht="31.2" x14ac:dyDescent="0.25">
      <c r="A197" s="152">
        <f>IF(J197&lt;&gt;"",1+MAX($A$18:A196),"")</f>
        <v>92</v>
      </c>
      <c r="B197" s="50"/>
      <c r="C197" s="50"/>
      <c r="D197" s="100" t="s">
        <v>35</v>
      </c>
      <c r="E197" s="178" t="s">
        <v>104</v>
      </c>
      <c r="F197" s="175" t="s">
        <v>806</v>
      </c>
      <c r="G197" s="51">
        <f>434*4</f>
        <v>1736</v>
      </c>
      <c r="H197" s="52">
        <f>IF(VLOOKUP(J197,'HOURLY RATES'!B$116:C$124,2,0)=0,$J$3,VLOOKUP(J197,'HOURLY RATES'!B$116:C$124,2,0))</f>
        <v>0.05</v>
      </c>
      <c r="I197" s="53">
        <f t="shared" si="206"/>
        <v>1822.8000000000002</v>
      </c>
      <c r="J197" s="99" t="s">
        <v>226</v>
      </c>
      <c r="K197" s="153">
        <v>1.7999999999999999E-2</v>
      </c>
      <c r="L197" s="60">
        <f t="shared" si="207"/>
        <v>32.810400000000001</v>
      </c>
      <c r="M197" s="58">
        <f>IF(VLOOKUP(E197,'HOURLY RATES'!C$6:D$105,2,0)=0,$E$3,VLOOKUP(E197,'HOURLY RATES'!C$6:D$105,2,0))</f>
        <v>54</v>
      </c>
      <c r="N197" s="58">
        <f t="shared" si="208"/>
        <v>1771.7616</v>
      </c>
      <c r="O197" s="61">
        <v>0.8</v>
      </c>
      <c r="P197" s="61">
        <f t="shared" si="209"/>
        <v>1458.2400000000002</v>
      </c>
      <c r="Q197" s="62">
        <f t="shared" si="210"/>
        <v>3230.0016000000005</v>
      </c>
      <c r="R197" s="155"/>
      <c r="S197" s="131">
        <f>((((N197*(1+$D$7))+(P197*(1+$D$5+$D$6)))*(1+$D$8)))/I197</f>
        <v>2.2149086399999995</v>
      </c>
      <c r="T197" s="130">
        <f t="shared" si="211"/>
        <v>4037.3354689919997</v>
      </c>
    </row>
    <row r="198" spans="1:20" s="7" customFormat="1" x14ac:dyDescent="0.25">
      <c r="A198" s="152"/>
      <c r="B198" s="50"/>
      <c r="C198" s="63"/>
      <c r="D198" s="100"/>
      <c r="E198" s="178"/>
      <c r="F198" s="103"/>
      <c r="G198" s="51"/>
      <c r="H198" s="52"/>
      <c r="I198" s="53"/>
      <c r="J198" s="99"/>
      <c r="K198" s="153"/>
      <c r="L198" s="60"/>
      <c r="M198" s="58"/>
      <c r="N198" s="58"/>
      <c r="O198" s="61"/>
      <c r="P198" s="61"/>
      <c r="Q198" s="62"/>
      <c r="R198" s="155"/>
      <c r="S198" s="131"/>
      <c r="T198" s="130"/>
    </row>
    <row r="199" spans="1:20" s="7" customFormat="1" x14ac:dyDescent="0.25">
      <c r="A199" s="152">
        <f>IF(J199&lt;&gt;"",1+MAX($A$18:A181),"")</f>
        <v>86</v>
      </c>
      <c r="B199" s="50"/>
      <c r="C199" s="63"/>
      <c r="D199" s="100"/>
      <c r="E199" s="178"/>
      <c r="F199" s="177" t="s">
        <v>755</v>
      </c>
      <c r="G199" s="108">
        <v>8</v>
      </c>
      <c r="H199" s="52"/>
      <c r="I199" s="53"/>
      <c r="J199" s="99" t="s">
        <v>225</v>
      </c>
      <c r="K199" s="153"/>
      <c r="L199" s="60"/>
      <c r="M199" s="58"/>
      <c r="N199" s="58"/>
      <c r="O199" s="61"/>
      <c r="P199" s="61"/>
      <c r="Q199" s="62"/>
      <c r="R199" s="155"/>
      <c r="S199" s="131"/>
      <c r="T199" s="130"/>
    </row>
    <row r="200" spans="1:20" s="7" customFormat="1" x14ac:dyDescent="0.25">
      <c r="A200" s="152" t="str">
        <f>IF(J200&lt;&gt;"",1+MAX($A$18:A199),"")</f>
        <v/>
      </c>
      <c r="B200" s="50"/>
      <c r="C200" s="63"/>
      <c r="D200" s="100"/>
      <c r="E200" s="178"/>
      <c r="F200" s="172" t="s">
        <v>722</v>
      </c>
      <c r="G200" s="51"/>
      <c r="H200" s="52"/>
      <c r="I200" s="53"/>
      <c r="J200" s="99"/>
      <c r="K200" s="153"/>
      <c r="L200" s="60"/>
      <c r="M200" s="58"/>
      <c r="N200" s="58"/>
      <c r="O200" s="61"/>
      <c r="P200" s="61"/>
      <c r="Q200" s="62"/>
      <c r="R200" s="155"/>
      <c r="S200" s="131"/>
      <c r="T200" s="130"/>
    </row>
    <row r="201" spans="1:20" s="7" customFormat="1" ht="31.2" x14ac:dyDescent="0.25">
      <c r="A201" s="152">
        <f>IF(J201&lt;&gt;"",1+MAX($A$18:A200),"")</f>
        <v>93</v>
      </c>
      <c r="B201" s="50"/>
      <c r="C201" s="50"/>
      <c r="D201" s="100" t="s">
        <v>35</v>
      </c>
      <c r="E201" s="178" t="s">
        <v>104</v>
      </c>
      <c r="F201" s="175" t="s">
        <v>758</v>
      </c>
      <c r="G201" s="51">
        <f>1309*8</f>
        <v>10472</v>
      </c>
      <c r="H201" s="52">
        <f>IF(VLOOKUP(J201,'HOURLY RATES'!B$116:C$124,2,0)=0,$J$3,VLOOKUP(J201,'HOURLY RATES'!B$116:C$124,2,0))</f>
        <v>0.05</v>
      </c>
      <c r="I201" s="53">
        <f t="shared" ref="I201" si="212">(G201*(1+H201))</f>
        <v>10995.6</v>
      </c>
      <c r="J201" s="99" t="s">
        <v>224</v>
      </c>
      <c r="K201" s="153">
        <v>2.1999999999999999E-2</v>
      </c>
      <c r="L201" s="60">
        <f t="shared" ref="L201" si="213">K201*I201</f>
        <v>241.9032</v>
      </c>
      <c r="M201" s="58">
        <f>IF(VLOOKUP(E201,'HOURLY RATES'!C$6:D$105,2,0)=0,$E$3,VLOOKUP(E201,'HOURLY RATES'!C$6:D$105,2,0))</f>
        <v>54</v>
      </c>
      <c r="N201" s="58">
        <f t="shared" ref="N201" si="214">M201*L201</f>
        <v>13062.772800000001</v>
      </c>
      <c r="O201" s="61">
        <v>0.4</v>
      </c>
      <c r="P201" s="61">
        <f t="shared" ref="P201" si="215">O201*I201</f>
        <v>4398.2400000000007</v>
      </c>
      <c r="Q201" s="62">
        <f t="shared" ref="Q201" si="216">P201+N201</f>
        <v>17461.0128</v>
      </c>
      <c r="R201" s="155"/>
      <c r="S201" s="131">
        <f>((((N201*(1+$D$7))+(P201*(1+$D$5+$D$6)))*(1+$D$8)))/I201</f>
        <v>1.9624903199999999</v>
      </c>
      <c r="T201" s="130">
        <f t="shared" ref="T201" si="217">S201*I201</f>
        <v>21578.758562592</v>
      </c>
    </row>
    <row r="202" spans="1:20" s="7" customFormat="1" x14ac:dyDescent="0.25">
      <c r="A202" s="152"/>
      <c r="B202" s="50"/>
      <c r="C202" s="63"/>
      <c r="D202" s="100"/>
      <c r="E202" s="178"/>
      <c r="F202" s="103"/>
      <c r="G202" s="51"/>
      <c r="H202" s="52"/>
      <c r="I202" s="53"/>
      <c r="J202" s="99"/>
      <c r="K202" s="153"/>
      <c r="L202" s="60"/>
      <c r="M202" s="58"/>
      <c r="N202" s="58"/>
      <c r="O202" s="61"/>
      <c r="P202" s="61"/>
      <c r="Q202" s="62"/>
      <c r="R202" s="155"/>
      <c r="S202" s="131"/>
      <c r="T202" s="130"/>
    </row>
    <row r="203" spans="1:20" s="7" customFormat="1" x14ac:dyDescent="0.25">
      <c r="A203" s="152" t="str">
        <f>IF(J203&lt;&gt;"",1+MAX($A$18:A201),"")</f>
        <v/>
      </c>
      <c r="B203" s="50"/>
      <c r="C203" s="63"/>
      <c r="D203" s="100"/>
      <c r="E203" s="178"/>
      <c r="F203" s="172" t="s">
        <v>719</v>
      </c>
      <c r="G203" s="51"/>
      <c r="H203" s="52"/>
      <c r="I203" s="53"/>
      <c r="J203" s="99"/>
      <c r="K203" s="153"/>
      <c r="L203" s="60"/>
      <c r="M203" s="58"/>
      <c r="N203" s="58"/>
      <c r="O203" s="61"/>
      <c r="P203" s="61"/>
      <c r="Q203" s="62"/>
      <c r="R203" s="155"/>
      <c r="S203" s="131"/>
      <c r="T203" s="130"/>
    </row>
    <row r="204" spans="1:20" s="7" customFormat="1" ht="31.2" x14ac:dyDescent="0.25">
      <c r="A204" s="152">
        <f>IF(J204&lt;&gt;"",1+MAX($A$18:A203),"")</f>
        <v>94</v>
      </c>
      <c r="B204" s="50"/>
      <c r="C204" s="50"/>
      <c r="D204" s="100" t="s">
        <v>35</v>
      </c>
      <c r="E204" s="178" t="s">
        <v>104</v>
      </c>
      <c r="F204" s="175" t="s">
        <v>760</v>
      </c>
      <c r="G204" s="51">
        <f>370*8</f>
        <v>2960</v>
      </c>
      <c r="H204" s="52">
        <f>IF(VLOOKUP(J204,'HOURLY RATES'!B$116:C$124,2,0)=0,$J$3,VLOOKUP(J204,'HOURLY RATES'!B$116:C$124,2,0))</f>
        <v>0.05</v>
      </c>
      <c r="I204" s="53">
        <f t="shared" ref="I204:I208" si="218">(G204*(1+H204))</f>
        <v>3108</v>
      </c>
      <c r="J204" s="99" t="s">
        <v>226</v>
      </c>
      <c r="K204" s="153">
        <v>1.7999999999999999E-2</v>
      </c>
      <c r="L204" s="60">
        <f t="shared" ref="L204" si="219">K204*I204</f>
        <v>55.943999999999996</v>
      </c>
      <c r="M204" s="58">
        <f>IF(VLOOKUP(E204,'HOURLY RATES'!C$6:D$105,2,0)=0,$E$3,VLOOKUP(E204,'HOURLY RATES'!C$6:D$105,2,0))</f>
        <v>54</v>
      </c>
      <c r="N204" s="58">
        <f t="shared" ref="N204" si="220">M204*L204</f>
        <v>3020.9759999999997</v>
      </c>
      <c r="O204" s="61">
        <v>0.8</v>
      </c>
      <c r="P204" s="61">
        <f t="shared" ref="P204:P208" si="221">O204*I204</f>
        <v>2486.4</v>
      </c>
      <c r="Q204" s="62">
        <f t="shared" ref="Q204:Q208" si="222">P204+N204</f>
        <v>5507.3760000000002</v>
      </c>
      <c r="R204" s="155"/>
      <c r="S204" s="131">
        <f>((((N204*(1+$D$7))+(P204*(1+$D$5+$D$6)))*(1+$D$8)))/I204</f>
        <v>2.2149086399999995</v>
      </c>
      <c r="T204" s="130">
        <f t="shared" ref="T204:T208" si="223">S204*I204</f>
        <v>6883.9360531199982</v>
      </c>
    </row>
    <row r="205" spans="1:20" s="7" customFormat="1" x14ac:dyDescent="0.25">
      <c r="A205" s="152"/>
      <c r="B205" s="50"/>
      <c r="C205" s="63"/>
      <c r="D205" s="100"/>
      <c r="E205" s="178"/>
      <c r="F205" s="103"/>
      <c r="G205" s="51"/>
      <c r="H205" s="52"/>
      <c r="I205" s="53"/>
      <c r="J205" s="99"/>
      <c r="K205" s="153"/>
      <c r="L205" s="60"/>
      <c r="M205" s="58"/>
      <c r="N205" s="58"/>
      <c r="O205" s="61"/>
      <c r="P205" s="61"/>
      <c r="Q205" s="62"/>
      <c r="R205" s="155"/>
      <c r="S205" s="131"/>
      <c r="T205" s="130"/>
    </row>
    <row r="206" spans="1:20" s="7" customFormat="1" x14ac:dyDescent="0.25">
      <c r="A206" s="152" t="str">
        <f>IF(J206&lt;&gt;"",1+MAX($A$18:A204),"")</f>
        <v/>
      </c>
      <c r="B206" s="50"/>
      <c r="C206" s="63"/>
      <c r="D206" s="100"/>
      <c r="E206" s="178"/>
      <c r="F206" s="172" t="s">
        <v>223</v>
      </c>
      <c r="G206" s="51"/>
      <c r="H206" s="52"/>
      <c r="I206" s="53"/>
      <c r="J206" s="99"/>
      <c r="K206" s="153"/>
      <c r="L206" s="60"/>
      <c r="M206" s="58"/>
      <c r="N206" s="58"/>
      <c r="O206" s="61"/>
      <c r="P206" s="61"/>
      <c r="Q206" s="62"/>
      <c r="R206" s="155"/>
      <c r="S206" s="131"/>
      <c r="T206" s="130"/>
    </row>
    <row r="207" spans="1:20" s="7" customFormat="1" ht="31.2" x14ac:dyDescent="0.25">
      <c r="A207" s="152">
        <f>IF(J207&lt;&gt;"",1+MAX($A$18:A206),"")</f>
        <v>95</v>
      </c>
      <c r="B207" s="50"/>
      <c r="C207" s="50"/>
      <c r="D207" s="100" t="s">
        <v>35</v>
      </c>
      <c r="E207" s="178" t="s">
        <v>104</v>
      </c>
      <c r="F207" s="175" t="s">
        <v>757</v>
      </c>
      <c r="G207" s="51">
        <f>3363*8</f>
        <v>26904</v>
      </c>
      <c r="H207" s="52">
        <f>IF(VLOOKUP(J207,'HOURLY RATES'!B$116:C$124,2,0)=0,$J$3,VLOOKUP(J207,'HOURLY RATES'!B$116:C$124,2,0))</f>
        <v>0.05</v>
      </c>
      <c r="I207" s="53">
        <f t="shared" si="218"/>
        <v>28249.200000000001</v>
      </c>
      <c r="J207" s="99" t="s">
        <v>224</v>
      </c>
      <c r="K207" s="153">
        <v>0.02</v>
      </c>
      <c r="L207" s="60">
        <f t="shared" ref="L207:L208" si="224">K207*I207</f>
        <v>564.98400000000004</v>
      </c>
      <c r="M207" s="58">
        <f>IF(VLOOKUP(E207,'HOURLY RATES'!C$6:D$105,2,0)=0,$E$3,VLOOKUP(E207,'HOURLY RATES'!C$6:D$105,2,0))</f>
        <v>54</v>
      </c>
      <c r="N207" s="58">
        <f t="shared" ref="N207:N208" si="225">M207*L207</f>
        <v>30509.136000000002</v>
      </c>
      <c r="O207" s="61">
        <v>0.4</v>
      </c>
      <c r="P207" s="61">
        <f t="shared" si="221"/>
        <v>11299.68</v>
      </c>
      <c r="Q207" s="62">
        <f t="shared" si="222"/>
        <v>41808.816000000006</v>
      </c>
      <c r="R207" s="155"/>
      <c r="S207" s="131">
        <f>((((N207*(1+$D$7))+(P207*(1+$D$5+$D$6)))*(1+$D$8)))/I207</f>
        <v>1.8309463199999998</v>
      </c>
      <c r="T207" s="130">
        <f t="shared" si="223"/>
        <v>51722.768782943996</v>
      </c>
    </row>
    <row r="208" spans="1:20" s="7" customFormat="1" ht="31.2" x14ac:dyDescent="0.25">
      <c r="A208" s="152">
        <f>IF(J208&lt;&gt;"",1+MAX($A$18:A207),"")</f>
        <v>96</v>
      </c>
      <c r="B208" s="50"/>
      <c r="C208" s="50"/>
      <c r="D208" s="100" t="s">
        <v>35</v>
      </c>
      <c r="E208" s="178" t="s">
        <v>104</v>
      </c>
      <c r="F208" s="175" t="s">
        <v>759</v>
      </c>
      <c r="G208" s="51">
        <f>464*8</f>
        <v>3712</v>
      </c>
      <c r="H208" s="52">
        <f>IF(VLOOKUP(J208,'HOURLY RATES'!B$116:C$124,2,0)=0,$J$3,VLOOKUP(J208,'HOURLY RATES'!B$116:C$124,2,0))</f>
        <v>0.05</v>
      </c>
      <c r="I208" s="53">
        <f t="shared" si="218"/>
        <v>3897.6000000000004</v>
      </c>
      <c r="J208" s="99" t="s">
        <v>224</v>
      </c>
      <c r="K208" s="153">
        <v>0.02</v>
      </c>
      <c r="L208" s="60">
        <f t="shared" si="224"/>
        <v>77.952000000000012</v>
      </c>
      <c r="M208" s="58">
        <f>IF(VLOOKUP(E208,'HOURLY RATES'!C$6:D$105,2,0)=0,$E$3,VLOOKUP(E208,'HOURLY RATES'!C$6:D$105,2,0))</f>
        <v>54</v>
      </c>
      <c r="N208" s="58">
        <f t="shared" si="225"/>
        <v>4209.4080000000004</v>
      </c>
      <c r="O208" s="61">
        <v>0.4</v>
      </c>
      <c r="P208" s="61">
        <f t="shared" si="221"/>
        <v>1559.0400000000002</v>
      </c>
      <c r="Q208" s="62">
        <f t="shared" si="222"/>
        <v>5768.4480000000003</v>
      </c>
      <c r="R208" s="155"/>
      <c r="S208" s="131">
        <f>((((N208*(1+$D$7))+(P208*(1+$D$5+$D$6)))*(1+$D$8)))/I208</f>
        <v>1.8309463199999998</v>
      </c>
      <c r="T208" s="130">
        <f t="shared" si="223"/>
        <v>7136.2963768319996</v>
      </c>
    </row>
    <row r="209" spans="1:22" s="7" customFormat="1" x14ac:dyDescent="0.25">
      <c r="A209" s="152"/>
      <c r="B209" s="50"/>
      <c r="C209" s="63"/>
      <c r="D209" s="100"/>
      <c r="E209" s="178"/>
      <c r="F209" s="103"/>
      <c r="G209" s="51"/>
      <c r="H209" s="52"/>
      <c r="I209" s="53"/>
      <c r="J209" s="99"/>
      <c r="K209" s="153"/>
      <c r="L209" s="60"/>
      <c r="M209" s="58"/>
      <c r="N209" s="58"/>
      <c r="O209" s="61"/>
      <c r="P209" s="61"/>
      <c r="Q209" s="62"/>
      <c r="R209" s="155"/>
      <c r="S209" s="131"/>
      <c r="T209" s="130"/>
    </row>
    <row r="210" spans="1:22" s="7" customFormat="1" x14ac:dyDescent="0.25">
      <c r="A210" s="152" t="str">
        <f>IF(J210&lt;&gt;"",1+MAX($A$18:A207),"")</f>
        <v/>
      </c>
      <c r="B210" s="50"/>
      <c r="C210" s="63"/>
      <c r="D210" s="100"/>
      <c r="E210" s="178"/>
      <c r="F210" s="172" t="s">
        <v>723</v>
      </c>
      <c r="G210" s="51"/>
      <c r="H210" s="52"/>
      <c r="I210" s="53"/>
      <c r="J210" s="99"/>
      <c r="K210" s="153"/>
      <c r="L210" s="60"/>
      <c r="M210" s="58"/>
      <c r="N210" s="58"/>
      <c r="O210" s="61"/>
      <c r="P210" s="61"/>
      <c r="Q210" s="62"/>
      <c r="R210" s="155"/>
      <c r="S210" s="131"/>
      <c r="T210" s="130"/>
    </row>
    <row r="211" spans="1:22" s="7" customFormat="1" ht="31.2" x14ac:dyDescent="0.25">
      <c r="A211" s="152">
        <f>IF(J211&lt;&gt;"",1+MAX($A$18:A210),"")</f>
        <v>97</v>
      </c>
      <c r="B211" s="50"/>
      <c r="C211" s="50"/>
      <c r="D211" s="100" t="s">
        <v>35</v>
      </c>
      <c r="E211" s="178" t="s">
        <v>104</v>
      </c>
      <c r="F211" s="175" t="s">
        <v>804</v>
      </c>
      <c r="G211" s="51">
        <f>14*8</f>
        <v>112</v>
      </c>
      <c r="H211" s="52">
        <f>IF(VLOOKUP(J211,'HOURLY RATES'!B$116:C$124,2,0)=0,$J$3,VLOOKUP(J211,'HOURLY RATES'!B$116:C$124,2,0))</f>
        <v>0</v>
      </c>
      <c r="I211" s="53">
        <f t="shared" ref="I211:I213" si="226">(G211*(1+H211))</f>
        <v>112</v>
      </c>
      <c r="J211" s="99" t="s">
        <v>225</v>
      </c>
      <c r="K211" s="153">
        <v>1.23</v>
      </c>
      <c r="L211" s="60">
        <f t="shared" ref="L211:L213" si="227">K211*I211</f>
        <v>137.76</v>
      </c>
      <c r="M211" s="58">
        <f>IF(VLOOKUP(E211,'HOURLY RATES'!C$6:D$105,2,0)=0,$E$3,VLOOKUP(E211,'HOURLY RATES'!C$6:D$105,2,0))</f>
        <v>54</v>
      </c>
      <c r="N211" s="58">
        <f t="shared" ref="N211:N213" si="228">M211*L211</f>
        <v>7439.0399999999991</v>
      </c>
      <c r="O211" s="61">
        <v>28</v>
      </c>
      <c r="P211" s="61">
        <f t="shared" ref="P211:P213" si="229">O211*I211</f>
        <v>3136</v>
      </c>
      <c r="Q211" s="62">
        <f t="shared" ref="Q211:Q213" si="230">P211+N211</f>
        <v>10575.039999999999</v>
      </c>
      <c r="R211" s="155"/>
      <c r="S211" s="131">
        <f>((((N211*(1+$D$7))+(P211*(1+$D$5+$D$6)))*(1+$D$8)))/I211</f>
        <v>116.98500239999997</v>
      </c>
      <c r="T211" s="130">
        <f t="shared" ref="T211:T213" si="231">S211*I211</f>
        <v>13102.320268799996</v>
      </c>
    </row>
    <row r="212" spans="1:22" s="7" customFormat="1" ht="31.2" x14ac:dyDescent="0.25">
      <c r="A212" s="152">
        <f>IF(J212&lt;&gt;"",1+MAX($A$18:A211),"")</f>
        <v>98</v>
      </c>
      <c r="B212" s="50"/>
      <c r="C212" s="50"/>
      <c r="D212" s="100" t="s">
        <v>35</v>
      </c>
      <c r="E212" s="178" t="s">
        <v>104</v>
      </c>
      <c r="F212" s="175" t="s">
        <v>805</v>
      </c>
      <c r="G212" s="51">
        <f>237*8</f>
        <v>1896</v>
      </c>
      <c r="H212" s="52">
        <f>IF(VLOOKUP(J212,'HOURLY RATES'!B$116:C$124,2,0)=0,$J$3,VLOOKUP(J212,'HOURLY RATES'!B$116:C$124,2,0))</f>
        <v>0.05</v>
      </c>
      <c r="I212" s="53">
        <f t="shared" si="226"/>
        <v>1990.8000000000002</v>
      </c>
      <c r="J212" s="99" t="s">
        <v>226</v>
      </c>
      <c r="K212" s="153">
        <v>1.7999999999999999E-2</v>
      </c>
      <c r="L212" s="60">
        <f t="shared" si="227"/>
        <v>35.834400000000002</v>
      </c>
      <c r="M212" s="58">
        <f>IF(VLOOKUP(E212,'HOURLY RATES'!C$6:D$105,2,0)=0,$E$3,VLOOKUP(E212,'HOURLY RATES'!C$6:D$105,2,0))</f>
        <v>54</v>
      </c>
      <c r="N212" s="58">
        <f t="shared" si="228"/>
        <v>1935.0576000000001</v>
      </c>
      <c r="O212" s="61">
        <v>0.8</v>
      </c>
      <c r="P212" s="61">
        <f t="shared" si="229"/>
        <v>1592.6400000000003</v>
      </c>
      <c r="Q212" s="62">
        <f t="shared" si="230"/>
        <v>3527.6976000000004</v>
      </c>
      <c r="R212" s="155"/>
      <c r="S212" s="131">
        <f>((((N212*(1+$D$7))+(P212*(1+$D$5+$D$6)))*(1+$D$8)))/I212</f>
        <v>2.21490864</v>
      </c>
      <c r="T212" s="130">
        <f t="shared" si="231"/>
        <v>4409.4401205120002</v>
      </c>
    </row>
    <row r="213" spans="1:22" s="7" customFormat="1" ht="31.2" x14ac:dyDescent="0.25">
      <c r="A213" s="152">
        <f>IF(J213&lt;&gt;"",1+MAX($A$18:A212),"")</f>
        <v>99</v>
      </c>
      <c r="B213" s="50"/>
      <c r="C213" s="50"/>
      <c r="D213" s="100" t="s">
        <v>35</v>
      </c>
      <c r="E213" s="178" t="s">
        <v>104</v>
      </c>
      <c r="F213" s="175" t="s">
        <v>806</v>
      </c>
      <c r="G213" s="51">
        <f>437*8</f>
        <v>3496</v>
      </c>
      <c r="H213" s="52">
        <f>IF(VLOOKUP(J213,'HOURLY RATES'!B$116:C$124,2,0)=0,$J$3,VLOOKUP(J213,'HOURLY RATES'!B$116:C$124,2,0))</f>
        <v>0.05</v>
      </c>
      <c r="I213" s="53">
        <f t="shared" si="226"/>
        <v>3670.8</v>
      </c>
      <c r="J213" s="99" t="s">
        <v>226</v>
      </c>
      <c r="K213" s="153">
        <v>1.7999999999999999E-2</v>
      </c>
      <c r="L213" s="60">
        <f t="shared" si="227"/>
        <v>66.074399999999997</v>
      </c>
      <c r="M213" s="58">
        <f>IF(VLOOKUP(E213,'HOURLY RATES'!C$6:D$105,2,0)=0,$E$3,VLOOKUP(E213,'HOURLY RATES'!C$6:D$105,2,0))</f>
        <v>54</v>
      </c>
      <c r="N213" s="58">
        <f t="shared" si="228"/>
        <v>3568.0175999999997</v>
      </c>
      <c r="O213" s="61">
        <v>0.8</v>
      </c>
      <c r="P213" s="61">
        <f t="shared" si="229"/>
        <v>2936.6400000000003</v>
      </c>
      <c r="Q213" s="62">
        <f t="shared" si="230"/>
        <v>6504.6576000000005</v>
      </c>
      <c r="R213" s="155"/>
      <c r="S213" s="131">
        <f>((((N213*(1+$D$7))+(P213*(1+$D$5+$D$6)))*(1+$D$8)))/I213</f>
        <v>2.21490864</v>
      </c>
      <c r="T213" s="130">
        <f t="shared" si="231"/>
        <v>8130.486635712</v>
      </c>
    </row>
    <row r="214" spans="1:22" s="7" customFormat="1" x14ac:dyDescent="0.25">
      <c r="A214" s="215" t="str">
        <f>IF(J214&lt;&gt;"",1+MAX($A$18:A213),"")</f>
        <v/>
      </c>
      <c r="B214" s="225"/>
      <c r="C214" s="225"/>
      <c r="D214" s="101"/>
      <c r="E214" s="226"/>
      <c r="F214" s="227"/>
      <c r="G214" s="228"/>
      <c r="H214" s="229"/>
      <c r="I214" s="230"/>
      <c r="J214" s="102"/>
      <c r="K214" s="76"/>
      <c r="L214" s="231"/>
      <c r="M214" s="73"/>
      <c r="N214" s="232"/>
      <c r="O214" s="233"/>
      <c r="P214" s="233"/>
      <c r="Q214" s="234"/>
      <c r="R214" s="155"/>
      <c r="S214" s="131"/>
      <c r="T214" s="130"/>
    </row>
    <row r="215" spans="1:22" s="7" customFormat="1" x14ac:dyDescent="0.25">
      <c r="A215" s="304" t="s">
        <v>54</v>
      </c>
      <c r="B215" s="304"/>
      <c r="C215" s="305"/>
      <c r="D215" s="306"/>
      <c r="E215" s="306"/>
      <c r="F215" s="306"/>
      <c r="G215" s="306"/>
      <c r="H215" s="306"/>
      <c r="I215" s="306"/>
      <c r="J215" s="307"/>
      <c r="K215" s="236" t="s">
        <v>228</v>
      </c>
      <c r="L215" s="237">
        <f>SUM(L18:L214)</f>
        <v>15202.39300192597</v>
      </c>
      <c r="M215" s="235" t="s">
        <v>229</v>
      </c>
      <c r="N215" s="238">
        <f>SUM(N18:N214)</f>
        <v>820929.22210400284</v>
      </c>
      <c r="O215" s="235" t="s">
        <v>230</v>
      </c>
      <c r="P215" s="238">
        <f>SUM(P18:P214)</f>
        <v>322631.69715000008</v>
      </c>
      <c r="Q215" s="239">
        <f>SUM(Q18:Q214)</f>
        <v>1143560.9192540026</v>
      </c>
      <c r="R215" s="239">
        <f>SUM(R18:R214)</f>
        <v>1143560.9192540026</v>
      </c>
      <c r="S215" s="132"/>
      <c r="T215" s="133">
        <f>SUM(T18:T214)</f>
        <v>1415688.4898055522</v>
      </c>
      <c r="U215" s="1"/>
      <c r="V215" s="1"/>
    </row>
    <row r="216" spans="1:22" s="7" customFormat="1" ht="16.2" thickBot="1" x14ac:dyDescent="0.3">
      <c r="A216" s="302" t="s">
        <v>55</v>
      </c>
      <c r="B216" s="303"/>
      <c r="C216" s="38"/>
      <c r="D216" s="38"/>
      <c r="E216" s="105"/>
      <c r="F216" s="39"/>
      <c r="G216" s="40"/>
      <c r="H216" s="40"/>
      <c r="I216" s="40"/>
      <c r="J216" s="38"/>
      <c r="K216" s="38"/>
      <c r="L216" s="38"/>
      <c r="M216" s="77">
        <f>D5</f>
        <v>6.9720000000000004E-2</v>
      </c>
      <c r="N216" s="78"/>
      <c r="O216" s="78"/>
      <c r="P216" s="78">
        <f>P215*M216</f>
        <v>22493.881925298007</v>
      </c>
      <c r="Q216" s="78">
        <f>P216+N216</f>
        <v>22493.881925298007</v>
      </c>
      <c r="R216" s="160">
        <f>Q216</f>
        <v>22493.881925298007</v>
      </c>
      <c r="S216" s="132"/>
      <c r="T216" s="132"/>
      <c r="U216" s="1"/>
      <c r="V216" s="1"/>
    </row>
    <row r="217" spans="1:22" s="7" customFormat="1" ht="16.8" thickTop="1" thickBot="1" x14ac:dyDescent="0.3">
      <c r="A217" s="161" t="s">
        <v>231</v>
      </c>
      <c r="B217" s="47"/>
      <c r="C217" s="41"/>
      <c r="D217" s="41"/>
      <c r="E217" s="42"/>
      <c r="F217" s="43"/>
      <c r="G217" s="44"/>
      <c r="H217" s="44"/>
      <c r="I217" s="44"/>
      <c r="J217" s="41"/>
      <c r="K217" s="41"/>
      <c r="L217" s="41"/>
      <c r="M217" s="48">
        <f>D6</f>
        <v>0.2</v>
      </c>
      <c r="N217" s="46"/>
      <c r="O217" s="46"/>
      <c r="P217" s="46">
        <f>P215*M217</f>
        <v>64526.339430000022</v>
      </c>
      <c r="Q217" s="46">
        <f>P217+N217</f>
        <v>64526.339430000022</v>
      </c>
      <c r="R217" s="162">
        <f>Q217</f>
        <v>64526.339430000022</v>
      </c>
      <c r="S217" s="132"/>
      <c r="T217" s="132"/>
      <c r="U217" s="1"/>
      <c r="V217" s="1"/>
    </row>
    <row r="218" spans="1:22" s="7" customFormat="1" ht="16.8" thickTop="1" thickBot="1" x14ac:dyDescent="0.3">
      <c r="A218" s="161" t="s">
        <v>232</v>
      </c>
      <c r="B218" s="47"/>
      <c r="C218" s="41"/>
      <c r="D218" s="41"/>
      <c r="E218" s="42"/>
      <c r="F218" s="43"/>
      <c r="G218" s="44"/>
      <c r="H218" s="44"/>
      <c r="I218" s="44"/>
      <c r="J218" s="41"/>
      <c r="K218" s="41"/>
      <c r="L218" s="41"/>
      <c r="M218" s="48">
        <f>D7</f>
        <v>0.2</v>
      </c>
      <c r="N218" s="46">
        <f>N215*M218</f>
        <v>164185.84442080057</v>
      </c>
      <c r="O218" s="46"/>
      <c r="P218" s="46"/>
      <c r="Q218" s="46">
        <f>P218+N218</f>
        <v>164185.84442080057</v>
      </c>
      <c r="R218" s="162">
        <f>Q218</f>
        <v>164185.84442080057</v>
      </c>
      <c r="S218" s="132"/>
      <c r="T218" s="132"/>
      <c r="U218" s="1"/>
      <c r="V218" s="1"/>
    </row>
    <row r="219" spans="1:22" s="7" customFormat="1" ht="16.8" thickTop="1" thickBot="1" x14ac:dyDescent="0.3">
      <c r="A219" s="300" t="s">
        <v>233</v>
      </c>
      <c r="B219" s="301"/>
      <c r="C219" s="41"/>
      <c r="D219" s="41"/>
      <c r="E219" s="42"/>
      <c r="F219" s="43"/>
      <c r="G219" s="44"/>
      <c r="H219" s="44"/>
      <c r="I219" s="44"/>
      <c r="J219" s="41"/>
      <c r="K219" s="41"/>
      <c r="L219" s="41"/>
      <c r="M219" s="45">
        <f>D8</f>
        <v>1.4999999999999999E-2</v>
      </c>
      <c r="N219" s="46">
        <f>(N215+N216+N217+N218)*M219</f>
        <v>14776.72599787205</v>
      </c>
      <c r="O219" s="46"/>
      <c r="P219" s="46">
        <f>(P215+P216+P217+P218)*M219</f>
        <v>6144.7787775794714</v>
      </c>
      <c r="Q219" s="46">
        <f>P219+N219</f>
        <v>20921.504775451522</v>
      </c>
      <c r="R219" s="162">
        <f>Q219</f>
        <v>20921.504775451522</v>
      </c>
      <c r="S219" s="132"/>
      <c r="T219" s="132"/>
      <c r="U219" s="1"/>
      <c r="V219" s="1"/>
    </row>
    <row r="220" spans="1:22" s="7" customFormat="1" ht="16.2" thickTop="1" x14ac:dyDescent="0.25">
      <c r="A220" s="298" t="s">
        <v>56</v>
      </c>
      <c r="B220" s="299"/>
      <c r="C220" s="163"/>
      <c r="D220" s="163"/>
      <c r="E220" s="164"/>
      <c r="F220" s="165"/>
      <c r="G220" s="166"/>
      <c r="H220" s="166"/>
      <c r="I220" s="166"/>
      <c r="J220" s="163"/>
      <c r="K220" s="163"/>
      <c r="L220" s="163"/>
      <c r="M220" s="167"/>
      <c r="N220" s="168">
        <f>SUM(N215:N219)</f>
        <v>999891.79252267547</v>
      </c>
      <c r="O220" s="167"/>
      <c r="P220" s="168">
        <f>SUM(P215:P219)</f>
        <v>415796.69728287758</v>
      </c>
      <c r="Q220" s="168">
        <f>SUM(Q215:Q219)</f>
        <v>1415688.4898055526</v>
      </c>
      <c r="R220" s="169">
        <f>SUM(R215:R219)</f>
        <v>1415688.4898055526</v>
      </c>
      <c r="S220" s="132"/>
      <c r="T220" s="133">
        <f>T215</f>
        <v>1415688.4898055522</v>
      </c>
      <c r="U220" s="1"/>
      <c r="V220" s="1"/>
    </row>
  </sheetData>
  <autoFilter ref="J1:J220" xr:uid="{00000000-0001-0000-0300-000000000000}"/>
  <mergeCells count="8">
    <mergeCell ref="A219:B219"/>
    <mergeCell ref="A220:B220"/>
    <mergeCell ref="A2:R2"/>
    <mergeCell ref="B3:E3"/>
    <mergeCell ref="E16:F16"/>
    <mergeCell ref="A215:B215"/>
    <mergeCell ref="C215:J215"/>
    <mergeCell ref="A216:B216"/>
  </mergeCells>
  <dataValidations count="1">
    <dataValidation type="list" allowBlank="1" showInputMessage="1" showErrorMessage="1" sqref="E63" xr:uid="{85E30B1C-A405-4C1A-BA0F-58AF14A7CEEA}">
      <formula1>#REF!</formula1>
    </dataValidation>
  </dataValidations>
  <hyperlinks>
    <hyperlink ref="D3:E3" location="'COST SUMMARY'!A1" display="CLICK HERE TO GO BACK TO COST SUMMARY" xr:uid="{796C28EA-FADE-4C80-BBDA-034E39BBB08D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FE00080-9EDE-4B1F-A4E1-E645FFFAE7CA}">
          <x14:formula1>
            <xm:f>'HOURLY RATES'!$B$116:$B$126</xm:f>
          </x14:formula1>
          <xm:sqref>J19:J92 J94:J213</xm:sqref>
        </x14:dataValidation>
        <x14:dataValidation type="list" allowBlank="1" showInputMessage="1" showErrorMessage="1" xr:uid="{09EBCEEB-514B-4469-A027-40686754BF0D}">
          <x14:formula1>
            <xm:f>'HOURLY RATES'!$C$6:$C$105</xm:f>
          </x14:formula1>
          <xm:sqref>E21:E32 E60:E62 E54:E57 E47:E51 E34:E36 E39:E44 E101:E213 E65:E92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B0AED-8E83-4278-ADD1-D068B6A5C102}">
  <sheetPr>
    <tabColor theme="5" tint="-0.499984740745262"/>
    <pageSetUpPr fitToPage="1"/>
  </sheetPr>
  <dimension ref="A1:V202"/>
  <sheetViews>
    <sheetView zoomScale="40" zoomScaleNormal="40" zoomScaleSheetLayoutView="70" workbookViewId="0">
      <pane ySplit="1" topLeftCell="A2" activePane="bottomLeft" state="frozen"/>
      <selection pane="bottomLeft" activeCell="F32" sqref="F32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Q197</f>
        <v>530597.4619820005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P197*D5</f>
        <v>10546.528622364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P197*D6</f>
        <v>30253.954740000001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N197*D7</f>
        <v>75865.537656400105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9708.9522450114691</v>
      </c>
      <c r="F8" s="185" t="s">
        <v>181</v>
      </c>
      <c r="G8" s="120"/>
      <c r="H8" s="184"/>
      <c r="I8" s="137"/>
      <c r="J8" s="138"/>
      <c r="K8" s="142" t="s">
        <v>827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656972.43524577608</v>
      </c>
      <c r="F9" s="95"/>
      <c r="G9" s="120"/>
      <c r="H9" s="184"/>
      <c r="I9" s="137"/>
      <c r="J9" s="143" t="s">
        <v>183</v>
      </c>
      <c r="K9" s="26">
        <v>55048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55048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40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812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37140.070565000511</v>
      </c>
      <c r="S18" s="129">
        <f>U18</f>
        <v>493457.39141699998</v>
      </c>
      <c r="T18" s="130"/>
      <c r="U18" s="13">
        <f>SUM(Q67:Q196)</f>
        <v>493457.39141699998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91.380998410555549</v>
      </c>
      <c r="L27" s="60">
        <f t="shared" si="3"/>
        <v>91.380998410555549</v>
      </c>
      <c r="M27" s="58">
        <f>IF(VLOOKUP(E27,'HOURLY RATES'!C$6:D$105,2,0)=0,$E$3,VLOOKUP(E27,'HOURLY RATES'!C$6:D$105,2,0))</f>
        <v>54</v>
      </c>
      <c r="N27" s="58">
        <f t="shared" si="4"/>
        <v>4934.5739141699996</v>
      </c>
      <c r="O27" s="61"/>
      <c r="P27" s="61">
        <f t="shared" si="0"/>
        <v>0</v>
      </c>
      <c r="Q27" s="62">
        <f t="shared" si="5"/>
        <v>4934.5739141699996</v>
      </c>
      <c r="R27" s="151"/>
      <c r="S27" s="131">
        <f t="shared" si="1"/>
        <v>6010.311027459059</v>
      </c>
      <c r="T27" s="130">
        <f t="shared" si="6"/>
        <v>6010.311027459059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52.635455084479993</v>
      </c>
      <c r="L34" s="60">
        <f t="shared" ref="L34:L36" si="8">K34*I34</f>
        <v>52.635455084479993</v>
      </c>
      <c r="M34" s="58">
        <f>IF(VLOOKUP(E34,'HOURLY RATES'!C$6:D$105,2,0)=0,$E$3,VLOOKUP(E34,'HOURLY RATES'!C$6:D$105,2,0))</f>
        <v>54</v>
      </c>
      <c r="N34" s="58">
        <f t="shared" ref="N34:N36" si="9">M34*L34</f>
        <v>2842.3145745619195</v>
      </c>
      <c r="O34" s="61"/>
      <c r="P34" s="61">
        <f t="shared" ref="P34:P36" si="10">O34*I34</f>
        <v>0</v>
      </c>
      <c r="Q34" s="62">
        <f t="shared" ref="Q34:Q36" si="11">P34+N34</f>
        <v>2842.3145745619195</v>
      </c>
      <c r="R34" s="151"/>
      <c r="S34" s="131">
        <f>((((N34*(1+$D$7))+(P34*(1+$D$5+$D$6)))*(1+$D$8)))/I34</f>
        <v>3461.9391518164175</v>
      </c>
      <c r="T34" s="130">
        <f t="shared" ref="T34:T36" si="12">S34*I34</f>
        <v>3461.9391518164175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105.13383867134417</v>
      </c>
      <c r="L36" s="60">
        <f t="shared" si="8"/>
        <v>105.13383867134417</v>
      </c>
      <c r="M36" s="58">
        <f>IF(VLOOKUP(E36,'HOURLY RATES'!C$6:D$105,2,0)=0,$E$3,VLOOKUP(E36,'HOURLY RATES'!C$6:D$105,2,0))</f>
        <v>54</v>
      </c>
      <c r="N36" s="58">
        <f t="shared" si="9"/>
        <v>5677.2272882525849</v>
      </c>
      <c r="O36" s="61"/>
      <c r="P36" s="61">
        <f t="shared" si="10"/>
        <v>0</v>
      </c>
      <c r="Q36" s="62">
        <f t="shared" si="11"/>
        <v>5677.2272882525849</v>
      </c>
      <c r="R36" s="151"/>
      <c r="S36" s="131">
        <f>((((N36*(1+$D$7))+(P36*(1+$D$5+$D$6)))*(1+$D$8)))/I36</f>
        <v>6914.8628370916476</v>
      </c>
      <c r="T36" s="130">
        <f t="shared" si="12"/>
        <v>6914.8628370916476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201.03819650322222</v>
      </c>
      <c r="L44" s="60">
        <f t="shared" si="14"/>
        <v>201.03819650322222</v>
      </c>
      <c r="M44" s="58">
        <f>IF(VLOOKUP(E44,'HOURLY RATES'!C$6:D$105,2,0)=0,$E$3,VLOOKUP(E44,'HOURLY RATES'!C$6:D$105,2,0))</f>
        <v>54</v>
      </c>
      <c r="N44" s="58">
        <f t="shared" si="15"/>
        <v>10856.062611174</v>
      </c>
      <c r="O44" s="61"/>
      <c r="P44" s="61">
        <f t="shared" si="16"/>
        <v>0</v>
      </c>
      <c r="Q44" s="62">
        <f t="shared" si="5"/>
        <v>10856.062611174</v>
      </c>
      <c r="R44" s="151"/>
      <c r="S44" s="131">
        <f t="shared" si="17"/>
        <v>13222.684260409931</v>
      </c>
      <c r="T44" s="130">
        <f t="shared" si="18"/>
        <v>13222.684260409931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237.59059586744445</v>
      </c>
      <c r="L65" s="60">
        <f t="shared" ref="L65" si="34">K65*I65</f>
        <v>237.59059586744445</v>
      </c>
      <c r="M65" s="58">
        <f>IF(VLOOKUP(E65,'HOURLY RATES'!C$6:D$105,2,0)=0,$E$3,VLOOKUP(E65,'HOURLY RATES'!C$6:D$105,2,0))</f>
        <v>54</v>
      </c>
      <c r="N65" s="58">
        <f t="shared" ref="N65" si="35">M65*L65</f>
        <v>12829.892176842</v>
      </c>
      <c r="O65" s="61"/>
      <c r="P65" s="61">
        <f t="shared" ref="P65" si="36">O65*I65</f>
        <v>0</v>
      </c>
      <c r="Q65" s="62">
        <f t="shared" ref="Q65" si="37">P65+N65</f>
        <v>12829.892176842</v>
      </c>
      <c r="R65" s="151"/>
      <c r="S65" s="131">
        <f>((((N65*(1+$D$7))+(P65*(1+$D$5+$D$6)))*(1+$D$8)))/I65</f>
        <v>15626.808671393554</v>
      </c>
      <c r="T65" s="130">
        <f>S65*I65</f>
        <v>15626.808671393554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SUM(Q68:Q195)</f>
        <v>493457.39141699998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ht="31.2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771</v>
      </c>
      <c r="G72" s="51">
        <v>3318</v>
      </c>
      <c r="H72" s="52">
        <f>IF(VLOOKUP(J72,'HOURLY RATES'!B$116:C$124,2,0)=0,$J$3,VLOOKUP(J72,'HOURLY RATES'!B$116:C$124,2,0))</f>
        <v>0.05</v>
      </c>
      <c r="I72" s="53">
        <f t="shared" ref="I72:I74" si="38">(G72*(1+H72))</f>
        <v>3483.9</v>
      </c>
      <c r="J72" s="99" t="s">
        <v>224</v>
      </c>
      <c r="K72" s="153">
        <v>2.1999999999999999E-2</v>
      </c>
      <c r="L72" s="60">
        <f t="shared" ref="L72:L74" si="39">K72*I72</f>
        <v>76.645799999999994</v>
      </c>
      <c r="M72" s="58">
        <f>IF(VLOOKUP(E72,'HOURLY RATES'!C$6:D$105,2,0)=0,$E$3,VLOOKUP(E72,'HOURLY RATES'!C$6:D$105,2,0))</f>
        <v>54</v>
      </c>
      <c r="N72" s="58">
        <f t="shared" ref="N72:N74" si="40">M72*L72</f>
        <v>4138.8732</v>
      </c>
      <c r="O72" s="61">
        <v>0.4</v>
      </c>
      <c r="P72" s="61">
        <f t="shared" ref="P72:P74" si="41">O72*I72</f>
        <v>1393.5600000000002</v>
      </c>
      <c r="Q72" s="62">
        <f t="shared" ref="Q72:Q74" si="42">P72+N72</f>
        <v>5532.4332000000004</v>
      </c>
      <c r="R72" s="155"/>
      <c r="S72" s="131">
        <f t="shared" ref="S72:S74" si="43">((((N72*(1+$D$7))+(P72*(1+$D$5+$D$6)))*(1+$D$8)))/I72</f>
        <v>1.9624903199999997</v>
      </c>
      <c r="T72" s="130">
        <f t="shared" ref="T72:T74" si="44">S72*I72</f>
        <v>6837.1200258479994</v>
      </c>
    </row>
    <row r="73" spans="1:20" s="7" customFormat="1" ht="31.2" x14ac:dyDescent="0.25">
      <c r="A73" s="152">
        <f>IF(J73&lt;&gt;"",1+MAX($A$18:A72),"")</f>
        <v>35</v>
      </c>
      <c r="B73" s="50"/>
      <c r="C73" s="50"/>
      <c r="D73" s="100" t="s">
        <v>35</v>
      </c>
      <c r="E73" s="178" t="s">
        <v>104</v>
      </c>
      <c r="F73" s="175" t="s">
        <v>774</v>
      </c>
      <c r="G73" s="51">
        <v>598</v>
      </c>
      <c r="H73" s="52">
        <f>IF(VLOOKUP(J73,'HOURLY RATES'!B$116:C$124,2,0)=0,$J$3,VLOOKUP(J73,'HOURLY RATES'!B$116:C$124,2,0))</f>
        <v>0.05</v>
      </c>
      <c r="I73" s="53">
        <f t="shared" si="38"/>
        <v>627.9</v>
      </c>
      <c r="J73" s="99" t="s">
        <v>224</v>
      </c>
      <c r="K73" s="153">
        <v>2.1999999999999999E-2</v>
      </c>
      <c r="L73" s="60">
        <f t="shared" si="39"/>
        <v>13.813799999999999</v>
      </c>
      <c r="M73" s="58">
        <f>IF(VLOOKUP(E73,'HOURLY RATES'!C$6:D$105,2,0)=0,$E$3,VLOOKUP(E73,'HOURLY RATES'!C$6:D$105,2,0))</f>
        <v>54</v>
      </c>
      <c r="N73" s="58">
        <f t="shared" si="40"/>
        <v>745.94519999999989</v>
      </c>
      <c r="O73" s="61">
        <v>0.4</v>
      </c>
      <c r="P73" s="61">
        <f t="shared" si="41"/>
        <v>251.16</v>
      </c>
      <c r="Q73" s="62">
        <f t="shared" si="42"/>
        <v>997.10519999999985</v>
      </c>
      <c r="R73" s="155"/>
      <c r="S73" s="131">
        <f t="shared" si="43"/>
        <v>1.9624903199999995</v>
      </c>
      <c r="T73" s="130">
        <f t="shared" si="44"/>
        <v>1232.2476719279996</v>
      </c>
    </row>
    <row r="74" spans="1:20" s="7" customFormat="1" x14ac:dyDescent="0.25">
      <c r="A74" s="152">
        <f>IF(J74&lt;&gt;"",1+MAX($A$18:A73),"")</f>
        <v>36</v>
      </c>
      <c r="B74" s="50"/>
      <c r="C74" s="50"/>
      <c r="D74" s="100" t="s">
        <v>35</v>
      </c>
      <c r="E74" s="178" t="s">
        <v>104</v>
      </c>
      <c r="F74" s="175" t="s">
        <v>749</v>
      </c>
      <c r="G74" s="51">
        <v>2021</v>
      </c>
      <c r="H74" s="52">
        <f>IF(VLOOKUP(J74,'HOURLY RATES'!B$116:C$124,2,0)=0,$J$3,VLOOKUP(J74,'HOURLY RATES'!B$116:C$124,2,0))</f>
        <v>0.05</v>
      </c>
      <c r="I74" s="53">
        <f t="shared" si="38"/>
        <v>2122.0500000000002</v>
      </c>
      <c r="J74" s="99" t="s">
        <v>224</v>
      </c>
      <c r="K74" s="153">
        <v>2.1999999999999999E-2</v>
      </c>
      <c r="L74" s="60">
        <f t="shared" si="39"/>
        <v>46.685099999999998</v>
      </c>
      <c r="M74" s="58">
        <f>IF(VLOOKUP(E74,'HOURLY RATES'!C$6:D$105,2,0)=0,$E$3,VLOOKUP(E74,'HOURLY RATES'!C$6:D$105,2,0))</f>
        <v>54</v>
      </c>
      <c r="N74" s="58">
        <f t="shared" si="40"/>
        <v>2520.9953999999998</v>
      </c>
      <c r="O74" s="61">
        <v>0.8</v>
      </c>
      <c r="P74" s="61">
        <f t="shared" si="41"/>
        <v>1697.6400000000003</v>
      </c>
      <c r="Q74" s="62">
        <f t="shared" si="42"/>
        <v>4218.6354000000001</v>
      </c>
      <c r="R74" s="155"/>
      <c r="S74" s="131">
        <f t="shared" si="43"/>
        <v>2.4779966399999998</v>
      </c>
      <c r="T74" s="130">
        <f t="shared" si="44"/>
        <v>5258.4327699120004</v>
      </c>
    </row>
    <row r="75" spans="1:20" s="7" customFormat="1" x14ac:dyDescent="0.25">
      <c r="A75" s="152" t="str">
        <f>IF(J75&lt;&gt;"",1+MAX($A$18:A72),"")</f>
        <v/>
      </c>
      <c r="B75" s="50"/>
      <c r="C75" s="63"/>
      <c r="D75" s="100"/>
      <c r="E75" s="178"/>
      <c r="F75" s="103" t="s">
        <v>222</v>
      </c>
      <c r="G75" s="51"/>
      <c r="H75" s="52"/>
      <c r="I75" s="53"/>
      <c r="J75" s="99"/>
      <c r="K75" s="153"/>
      <c r="L75" s="60"/>
      <c r="M75" s="58"/>
      <c r="N75" s="58"/>
      <c r="O75" s="61"/>
      <c r="P75" s="61"/>
      <c r="Q75" s="62"/>
      <c r="R75" s="155"/>
      <c r="S75" s="131"/>
      <c r="T75" s="130"/>
    </row>
    <row r="76" spans="1:20" s="7" customFormat="1" x14ac:dyDescent="0.25">
      <c r="A76" s="152" t="str">
        <f>IF(J76&lt;&gt;"",1+MAX($A$18:A75),"")</f>
        <v/>
      </c>
      <c r="B76" s="50"/>
      <c r="C76" s="63"/>
      <c r="D76" s="100"/>
      <c r="E76" s="178"/>
      <c r="F76" s="172" t="s">
        <v>719</v>
      </c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ht="31.2" x14ac:dyDescent="0.25">
      <c r="A77" s="152">
        <f>IF(J77&lt;&gt;"",1+MAX($A$18:A76),"")</f>
        <v>37</v>
      </c>
      <c r="B77" s="50"/>
      <c r="C77" s="50"/>
      <c r="D77" s="100" t="s">
        <v>35</v>
      </c>
      <c r="E77" s="178" t="s">
        <v>104</v>
      </c>
      <c r="F77" s="175" t="s">
        <v>778</v>
      </c>
      <c r="G77" s="51">
        <v>1182.03</v>
      </c>
      <c r="H77" s="52">
        <f>IF(VLOOKUP(J77,'HOURLY RATES'!B$116:C$124,2,0)=0,$J$3,VLOOKUP(J77,'HOURLY RATES'!B$116:C$124,2,0))</f>
        <v>0.05</v>
      </c>
      <c r="I77" s="53">
        <f t="shared" ref="I77" si="45">(G77*(1+H77))</f>
        <v>1241.1315</v>
      </c>
      <c r="J77" s="99" t="s">
        <v>226</v>
      </c>
      <c r="K77" s="153">
        <v>1.7999999999999999E-2</v>
      </c>
      <c r="L77" s="60">
        <f t="shared" ref="L77" si="46">K77*I77</f>
        <v>22.340366999999997</v>
      </c>
      <c r="M77" s="58">
        <f>IF(VLOOKUP(E77,'HOURLY RATES'!C$6:D$105,2,0)=0,$E$3,VLOOKUP(E77,'HOURLY RATES'!C$6:D$105,2,0))</f>
        <v>54</v>
      </c>
      <c r="N77" s="58">
        <f t="shared" ref="N77" si="47">M77*L77</f>
        <v>1206.3798179999999</v>
      </c>
      <c r="O77" s="61">
        <v>0.8</v>
      </c>
      <c r="P77" s="61">
        <f t="shared" ref="P77" si="48">O77*I77</f>
        <v>992.90520000000004</v>
      </c>
      <c r="Q77" s="62">
        <f t="shared" ref="Q77" si="49">P77+N77</f>
        <v>2199.285018</v>
      </c>
      <c r="R77" s="155"/>
      <c r="S77" s="131">
        <f>((((N77*(1+$D$7))+(P77*(1+$D$5+$D$6)))*(1+$D$8)))/I77</f>
        <v>2.21490864</v>
      </c>
      <c r="T77" s="130">
        <f t="shared" ref="T77" si="50">S77*I77</f>
        <v>2748.9928827261597</v>
      </c>
    </row>
    <row r="78" spans="1:20" s="7" customFormat="1" x14ac:dyDescent="0.25">
      <c r="A78" s="152"/>
      <c r="B78" s="50"/>
      <c r="C78" s="63"/>
      <c r="D78" s="100"/>
      <c r="E78" s="178"/>
      <c r="F78" s="103"/>
      <c r="G78" s="51"/>
      <c r="H78" s="52"/>
      <c r="I78" s="53"/>
      <c r="J78" s="99"/>
      <c r="K78" s="153"/>
      <c r="L78" s="60"/>
      <c r="M78" s="58"/>
      <c r="N78" s="58"/>
      <c r="O78" s="61"/>
      <c r="P78" s="61"/>
      <c r="Q78" s="62"/>
      <c r="R78" s="155"/>
      <c r="S78" s="131"/>
      <c r="T78" s="130"/>
    </row>
    <row r="79" spans="1:20" s="7" customFormat="1" x14ac:dyDescent="0.25">
      <c r="A79" s="152" t="str">
        <f>IF(J79&lt;&gt;"",1+MAX($A$18:A76),"")</f>
        <v/>
      </c>
      <c r="B79" s="50"/>
      <c r="C79" s="63"/>
      <c r="D79" s="100"/>
      <c r="E79" s="178"/>
      <c r="F79" s="172" t="s">
        <v>223</v>
      </c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ht="31.2" x14ac:dyDescent="0.25">
      <c r="A80" s="152">
        <f>IF(J80&lt;&gt;"",1+MAX($A$18:A79),"")</f>
        <v>38</v>
      </c>
      <c r="B80" s="50"/>
      <c r="C80" s="50"/>
      <c r="D80" s="100" t="s">
        <v>35</v>
      </c>
      <c r="E80" s="178" t="s">
        <v>104</v>
      </c>
      <c r="F80" s="175" t="s">
        <v>769</v>
      </c>
      <c r="G80" s="51">
        <v>11176</v>
      </c>
      <c r="H80" s="52">
        <f>IF(VLOOKUP(J80,'HOURLY RATES'!B$116:C$124,2,0)=0,$J$3,VLOOKUP(J80,'HOURLY RATES'!B$116:C$124,2,0))</f>
        <v>0.05</v>
      </c>
      <c r="I80" s="53">
        <f t="shared" ref="I80:I82" si="51">(G80*(1+H80))</f>
        <v>11734.800000000001</v>
      </c>
      <c r="J80" s="99" t="s">
        <v>224</v>
      </c>
      <c r="K80" s="153">
        <v>0.02</v>
      </c>
      <c r="L80" s="60">
        <f t="shared" ref="L80:L82" si="52">K80*I80</f>
        <v>234.69600000000003</v>
      </c>
      <c r="M80" s="58">
        <f>IF(VLOOKUP(E80,'HOURLY RATES'!C$6:D$105,2,0)=0,$E$3,VLOOKUP(E80,'HOURLY RATES'!C$6:D$105,2,0))</f>
        <v>54</v>
      </c>
      <c r="N80" s="58">
        <f t="shared" ref="N80:N82" si="53">M80*L80</f>
        <v>12673.584000000001</v>
      </c>
      <c r="O80" s="61">
        <v>0.4</v>
      </c>
      <c r="P80" s="61">
        <f t="shared" ref="P80:P82" si="54">O80*I80</f>
        <v>4693.920000000001</v>
      </c>
      <c r="Q80" s="62">
        <f t="shared" ref="Q80:Q82" si="55">P80+N80</f>
        <v>17367.504000000001</v>
      </c>
      <c r="R80" s="155"/>
      <c r="S80" s="131">
        <f t="shared" ref="S80:S82" si="56">((((N80*(1+$D$7))+(P80*(1+$D$5+$D$6)))*(1+$D$8)))/I80</f>
        <v>1.8309463199999998</v>
      </c>
      <c r="T80" s="130">
        <f t="shared" ref="T80:T82" si="57">S80*I80</f>
        <v>21485.788875935999</v>
      </c>
    </row>
    <row r="81" spans="1:20" s="7" customFormat="1" ht="31.2" x14ac:dyDescent="0.25">
      <c r="A81" s="152">
        <f>IF(J81&lt;&gt;"",1+MAX($A$18:A80),"")</f>
        <v>39</v>
      </c>
      <c r="B81" s="50"/>
      <c r="C81" s="50"/>
      <c r="D81" s="100" t="s">
        <v>35</v>
      </c>
      <c r="E81" s="178" t="s">
        <v>104</v>
      </c>
      <c r="F81" s="175" t="s">
        <v>800</v>
      </c>
      <c r="G81" s="51">
        <v>642</v>
      </c>
      <c r="H81" s="52">
        <f>IF(VLOOKUP(J81,'HOURLY RATES'!B$116:C$124,2,0)=0,$J$3,VLOOKUP(J81,'HOURLY RATES'!B$116:C$124,2,0))</f>
        <v>0.05</v>
      </c>
      <c r="I81" s="53">
        <f t="shared" si="51"/>
        <v>674.1</v>
      </c>
      <c r="J81" s="99" t="s">
        <v>224</v>
      </c>
      <c r="K81" s="153">
        <v>0.02</v>
      </c>
      <c r="L81" s="60">
        <f t="shared" si="52"/>
        <v>13.482000000000001</v>
      </c>
      <c r="M81" s="58">
        <f>IF(VLOOKUP(E81,'HOURLY RATES'!C$6:D$105,2,0)=0,$E$3,VLOOKUP(E81,'HOURLY RATES'!C$6:D$105,2,0))</f>
        <v>54</v>
      </c>
      <c r="N81" s="58">
        <f t="shared" si="53"/>
        <v>728.02800000000002</v>
      </c>
      <c r="O81" s="61">
        <v>0.4</v>
      </c>
      <c r="P81" s="61">
        <f t="shared" si="54"/>
        <v>269.64000000000004</v>
      </c>
      <c r="Q81" s="62">
        <f t="shared" si="55"/>
        <v>997.66800000000012</v>
      </c>
      <c r="R81" s="155"/>
      <c r="S81" s="131">
        <f t="shared" si="56"/>
        <v>1.83094632</v>
      </c>
      <c r="T81" s="130">
        <f t="shared" si="57"/>
        <v>1234.2409143120001</v>
      </c>
    </row>
    <row r="82" spans="1:20" s="7" customFormat="1" ht="31.2" x14ac:dyDescent="0.25">
      <c r="A82" s="152">
        <f>IF(J82&lt;&gt;"",1+MAX($A$18:A80),"")</f>
        <v>39</v>
      </c>
      <c r="B82" s="50"/>
      <c r="C82" s="50"/>
      <c r="D82" s="100" t="s">
        <v>35</v>
      </c>
      <c r="E82" s="178" t="s">
        <v>104</v>
      </c>
      <c r="F82" s="175" t="s">
        <v>768</v>
      </c>
      <c r="G82" s="51">
        <v>3432</v>
      </c>
      <c r="H82" s="52">
        <f>IF(VLOOKUP(J82,'HOURLY RATES'!B$116:C$124,2,0)=0,$J$3,VLOOKUP(J82,'HOURLY RATES'!B$116:C$124,2,0))</f>
        <v>0.05</v>
      </c>
      <c r="I82" s="53">
        <f t="shared" si="51"/>
        <v>3603.6000000000004</v>
      </c>
      <c r="J82" s="99" t="s">
        <v>224</v>
      </c>
      <c r="K82" s="153">
        <v>0.02</v>
      </c>
      <c r="L82" s="60">
        <f t="shared" si="52"/>
        <v>72.072000000000003</v>
      </c>
      <c r="M82" s="58">
        <f>IF(VLOOKUP(E82,'HOURLY RATES'!C$6:D$105,2,0)=0,$E$3,VLOOKUP(E82,'HOURLY RATES'!C$6:D$105,2,0))</f>
        <v>54</v>
      </c>
      <c r="N82" s="58">
        <f t="shared" si="53"/>
        <v>3891.8879999999999</v>
      </c>
      <c r="O82" s="61">
        <v>0.4</v>
      </c>
      <c r="P82" s="61">
        <f t="shared" si="54"/>
        <v>1441.4400000000003</v>
      </c>
      <c r="Q82" s="62">
        <f t="shared" si="55"/>
        <v>5333.3280000000004</v>
      </c>
      <c r="R82" s="155"/>
      <c r="S82" s="131">
        <f t="shared" si="56"/>
        <v>1.8309463199999996</v>
      </c>
      <c r="T82" s="130">
        <f t="shared" si="57"/>
        <v>6597.9981587519987</v>
      </c>
    </row>
    <row r="83" spans="1:20" s="7" customFormat="1" x14ac:dyDescent="0.25">
      <c r="A83" s="152"/>
      <c r="B83" s="50"/>
      <c r="C83" s="63"/>
      <c r="D83" s="100"/>
      <c r="E83" s="178"/>
      <c r="F83" s="103"/>
      <c r="G83" s="51"/>
      <c r="H83" s="52"/>
      <c r="I83" s="53"/>
      <c r="J83" s="99"/>
      <c r="K83" s="153"/>
      <c r="L83" s="60"/>
      <c r="M83" s="58"/>
      <c r="N83" s="58"/>
      <c r="O83" s="61"/>
      <c r="P83" s="61"/>
      <c r="Q83" s="62"/>
      <c r="R83" s="155"/>
      <c r="S83" s="131"/>
      <c r="T83" s="130"/>
    </row>
    <row r="84" spans="1:20" s="7" customFormat="1" x14ac:dyDescent="0.25">
      <c r="A84" s="152" t="str">
        <f>IF(J84&lt;&gt;"",1+MAX($A$18:A82),"")</f>
        <v/>
      </c>
      <c r="B84" s="50"/>
      <c r="C84" s="63"/>
      <c r="D84" s="100"/>
      <c r="E84" s="178"/>
      <c r="F84" s="172" t="s">
        <v>227</v>
      </c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>
        <f>IF(J85&lt;&gt;"",1+MAX($A$18:A84),"")</f>
        <v>40</v>
      </c>
      <c r="B85" s="50"/>
      <c r="C85" s="50"/>
      <c r="D85" s="100" t="s">
        <v>35</v>
      </c>
      <c r="E85" s="178" t="s">
        <v>104</v>
      </c>
      <c r="F85" s="175" t="s">
        <v>748</v>
      </c>
      <c r="G85" s="51">
        <v>124.13</v>
      </c>
      <c r="H85" s="52">
        <f>IF(VLOOKUP(J85,'HOURLY RATES'!B$116:C$124,2,0)=0,$J$3,VLOOKUP(J85,'HOURLY RATES'!B$116:C$124,2,0))</f>
        <v>0.05</v>
      </c>
      <c r="I85" s="53">
        <f t="shared" ref="I85:I86" si="58">(G85*(1+H85))</f>
        <v>130.3365</v>
      </c>
      <c r="J85" s="99" t="s">
        <v>226</v>
      </c>
      <c r="K85" s="153">
        <v>4.3999999999999997E-2</v>
      </c>
      <c r="L85" s="60">
        <f t="shared" ref="L85:L86" si="59">K85*I85</f>
        <v>5.7348059999999998</v>
      </c>
      <c r="M85" s="58">
        <f>IF(VLOOKUP(E85,'HOURLY RATES'!C$6:D$105,2,0)=0,$E$3,VLOOKUP(E85,'HOURLY RATES'!C$6:D$105,2,0))</f>
        <v>54</v>
      </c>
      <c r="N85" s="58">
        <f t="shared" ref="N85:N86" si="60">M85*L85</f>
        <v>309.67952400000001</v>
      </c>
      <c r="O85" s="61">
        <v>1.5</v>
      </c>
      <c r="P85" s="61">
        <f t="shared" ref="P85:P86" si="61">O85*I85</f>
        <v>195.50475</v>
      </c>
      <c r="Q85" s="62">
        <f t="shared" ref="Q85:Q86" si="62">P85+N85</f>
        <v>505.18427400000002</v>
      </c>
      <c r="R85" s="155"/>
      <c r="S85" s="131">
        <f>((((N85*(1+$D$7))+(P85*(1+$D$5+$D$6)))*(1+$D$8)))/I85</f>
        <v>4.8271166999999995</v>
      </c>
      <c r="T85" s="130">
        <f t="shared" ref="T85:T86" si="63">S85*I85</f>
        <v>629.14949576954996</v>
      </c>
    </row>
    <row r="86" spans="1:20" s="7" customFormat="1" x14ac:dyDescent="0.25">
      <c r="A86" s="152">
        <f>IF(J86&lt;&gt;"",1+MAX($A$18:A84),"")</f>
        <v>40</v>
      </c>
      <c r="B86" s="50"/>
      <c r="C86" s="50"/>
      <c r="D86" s="100" t="s">
        <v>35</v>
      </c>
      <c r="E86" s="178" t="s">
        <v>104</v>
      </c>
      <c r="F86" s="175" t="s">
        <v>721</v>
      </c>
      <c r="G86" s="51">
        <v>130.15</v>
      </c>
      <c r="H86" s="52">
        <f>IF(VLOOKUP(J86,'HOURLY RATES'!B$116:C$124,2,0)=0,$J$3,VLOOKUP(J86,'HOURLY RATES'!B$116:C$124,2,0))</f>
        <v>0.05</v>
      </c>
      <c r="I86" s="53">
        <f t="shared" si="58"/>
        <v>136.6575</v>
      </c>
      <c r="J86" s="99" t="s">
        <v>226</v>
      </c>
      <c r="K86" s="153">
        <v>0.215</v>
      </c>
      <c r="L86" s="60">
        <f t="shared" si="59"/>
        <v>29.381362499999998</v>
      </c>
      <c r="M86" s="58">
        <f>IF(VLOOKUP(E86,'HOURLY RATES'!C$6:D$105,2,0)=0,$E$3,VLOOKUP(E86,'HOURLY RATES'!C$6:D$105,2,0))</f>
        <v>54</v>
      </c>
      <c r="N86" s="58">
        <f t="shared" si="60"/>
        <v>1586.5935749999999</v>
      </c>
      <c r="O86" s="61">
        <v>2.5</v>
      </c>
      <c r="P86" s="61">
        <f t="shared" si="61"/>
        <v>341.64375000000001</v>
      </c>
      <c r="Q86" s="62">
        <f t="shared" si="62"/>
        <v>1928.2373249999998</v>
      </c>
      <c r="R86" s="155"/>
      <c r="S86" s="131">
        <f>((((N86*(1+$D$7))+(P86*(1+$D$5+$D$6)))*(1+$D$8)))/I86</f>
        <v>17.362894499999996</v>
      </c>
      <c r="T86" s="130">
        <f t="shared" si="63"/>
        <v>2372.7697551337496</v>
      </c>
    </row>
    <row r="87" spans="1:20" s="7" customFormat="1" x14ac:dyDescent="0.25">
      <c r="A87" s="152"/>
      <c r="B87" s="50"/>
      <c r="C87" s="63"/>
      <c r="D87" s="100"/>
      <c r="E87" s="178"/>
      <c r="F87" s="103"/>
      <c r="G87" s="51"/>
      <c r="H87" s="52"/>
      <c r="I87" s="53"/>
      <c r="J87" s="99"/>
      <c r="K87" s="153"/>
      <c r="L87" s="60"/>
      <c r="M87" s="58"/>
      <c r="N87" s="58"/>
      <c r="O87" s="61"/>
      <c r="P87" s="61"/>
      <c r="Q87" s="62"/>
      <c r="R87" s="155"/>
      <c r="S87" s="131"/>
      <c r="T87" s="130"/>
    </row>
    <row r="88" spans="1:20" s="7" customFormat="1" x14ac:dyDescent="0.25">
      <c r="A88" s="152" t="str">
        <f>IF(J88&lt;&gt;"",1+MAX($A$18:A85),"")</f>
        <v/>
      </c>
      <c r="B88" s="50"/>
      <c r="C88" s="63"/>
      <c r="D88" s="100"/>
      <c r="E88" s="178"/>
      <c r="F88" s="172" t="s">
        <v>723</v>
      </c>
      <c r="G88" s="51"/>
      <c r="H88" s="52"/>
      <c r="I88" s="53"/>
      <c r="J88" s="99"/>
      <c r="K88" s="153"/>
      <c r="L88" s="60"/>
      <c r="M88" s="58"/>
      <c r="N88" s="58"/>
      <c r="O88" s="61"/>
      <c r="P88" s="61"/>
      <c r="Q88" s="62"/>
      <c r="R88" s="155"/>
      <c r="S88" s="131"/>
      <c r="T88" s="130"/>
    </row>
    <row r="89" spans="1:20" s="7" customFormat="1" ht="31.2" x14ac:dyDescent="0.25">
      <c r="A89" s="152">
        <f>IF(J89&lt;&gt;"",1+MAX($A$18:A88),"")</f>
        <v>41</v>
      </c>
      <c r="B89" s="50"/>
      <c r="C89" s="50"/>
      <c r="D89" s="100" t="s">
        <v>35</v>
      </c>
      <c r="E89" s="178" t="s">
        <v>104</v>
      </c>
      <c r="F89" s="175" t="s">
        <v>804</v>
      </c>
      <c r="G89" s="51">
        <v>15</v>
      </c>
      <c r="H89" s="52">
        <f>IF(VLOOKUP(J89,'HOURLY RATES'!B$116:C$124,2,0)=0,$J$3,VLOOKUP(J89,'HOURLY RATES'!B$116:C$124,2,0))</f>
        <v>0</v>
      </c>
      <c r="I89" s="53">
        <f t="shared" ref="I89:I91" si="64">(G89*(1+H89))</f>
        <v>15</v>
      </c>
      <c r="J89" s="99" t="s">
        <v>225</v>
      </c>
      <c r="K89" s="153">
        <v>1.23</v>
      </c>
      <c r="L89" s="60">
        <f t="shared" ref="L89:L91" si="65">K89*I89</f>
        <v>18.45</v>
      </c>
      <c r="M89" s="58">
        <f>IF(VLOOKUP(E89,'HOURLY RATES'!C$6:D$105,2,0)=0,$E$3,VLOOKUP(E89,'HOURLY RATES'!C$6:D$105,2,0))</f>
        <v>54</v>
      </c>
      <c r="N89" s="58">
        <f t="shared" ref="N89:N91" si="66">M89*L89</f>
        <v>996.3</v>
      </c>
      <c r="O89" s="61">
        <v>28</v>
      </c>
      <c r="P89" s="61">
        <f t="shared" ref="P89:P91" si="67">O89*I89</f>
        <v>420</v>
      </c>
      <c r="Q89" s="62">
        <f t="shared" ref="Q89:Q91" si="68">P89+N89</f>
        <v>1416.3</v>
      </c>
      <c r="R89" s="155"/>
      <c r="S89" s="131">
        <f>((((N89*(1+$D$7))+(P89*(1+$D$5+$D$6)))*(1+$D$8)))/I89</f>
        <v>116.98500239999998</v>
      </c>
      <c r="T89" s="130">
        <f t="shared" ref="T89:T91" si="69">S89*I89</f>
        <v>1754.7750359999998</v>
      </c>
    </row>
    <row r="90" spans="1:20" s="7" customFormat="1" ht="31.2" x14ac:dyDescent="0.25">
      <c r="A90" s="152">
        <f>IF(J90&lt;&gt;"",1+MAX($A$18:A89),"")</f>
        <v>42</v>
      </c>
      <c r="B90" s="50"/>
      <c r="C90" s="50"/>
      <c r="D90" s="100" t="s">
        <v>35</v>
      </c>
      <c r="E90" s="178" t="s">
        <v>104</v>
      </c>
      <c r="F90" s="175" t="s">
        <v>805</v>
      </c>
      <c r="G90" s="51">
        <f>G91/2</f>
        <v>294</v>
      </c>
      <c r="H90" s="52">
        <f>IF(VLOOKUP(J90,'HOURLY RATES'!B$116:C$124,2,0)=0,$J$3,VLOOKUP(J90,'HOURLY RATES'!B$116:C$124,2,0))</f>
        <v>0.05</v>
      </c>
      <c r="I90" s="53">
        <f t="shared" si="64"/>
        <v>308.7</v>
      </c>
      <c r="J90" s="99" t="s">
        <v>226</v>
      </c>
      <c r="K90" s="153">
        <v>1.7999999999999999E-2</v>
      </c>
      <c r="L90" s="60">
        <f t="shared" si="65"/>
        <v>5.5565999999999995</v>
      </c>
      <c r="M90" s="58">
        <f>IF(VLOOKUP(E90,'HOURLY RATES'!C$6:D$105,2,0)=0,$E$3,VLOOKUP(E90,'HOURLY RATES'!C$6:D$105,2,0))</f>
        <v>54</v>
      </c>
      <c r="N90" s="58">
        <f t="shared" si="66"/>
        <v>300.0564</v>
      </c>
      <c r="O90" s="61">
        <v>0.8</v>
      </c>
      <c r="P90" s="61">
        <f t="shared" si="67"/>
        <v>246.96</v>
      </c>
      <c r="Q90" s="62">
        <f t="shared" si="68"/>
        <v>547.01639999999998</v>
      </c>
      <c r="R90" s="155"/>
      <c r="S90" s="131">
        <f>((((N90*(1+$D$7))+(P90*(1+$D$5+$D$6)))*(1+$D$8)))/I90</f>
        <v>2.21490864</v>
      </c>
      <c r="T90" s="130">
        <f t="shared" si="69"/>
        <v>683.74229716799994</v>
      </c>
    </row>
    <row r="91" spans="1:20" s="7" customFormat="1" ht="31.2" x14ac:dyDescent="0.25">
      <c r="A91" s="152">
        <f>IF(J91&lt;&gt;"",1+MAX($A$18:A90),"")</f>
        <v>43</v>
      </c>
      <c r="B91" s="50"/>
      <c r="C91" s="50"/>
      <c r="D91" s="100" t="s">
        <v>35</v>
      </c>
      <c r="E91" s="178" t="s">
        <v>104</v>
      </c>
      <c r="F91" s="175" t="s">
        <v>806</v>
      </c>
      <c r="G91" s="51">
        <v>588</v>
      </c>
      <c r="H91" s="52">
        <f>IF(VLOOKUP(J91,'HOURLY RATES'!B$116:C$124,2,0)=0,$J$3,VLOOKUP(J91,'HOURLY RATES'!B$116:C$124,2,0))</f>
        <v>0.05</v>
      </c>
      <c r="I91" s="53">
        <f t="shared" si="64"/>
        <v>617.4</v>
      </c>
      <c r="J91" s="99" t="s">
        <v>226</v>
      </c>
      <c r="K91" s="153">
        <v>1.7999999999999999E-2</v>
      </c>
      <c r="L91" s="60">
        <f t="shared" si="65"/>
        <v>11.113199999999999</v>
      </c>
      <c r="M91" s="58">
        <f>IF(VLOOKUP(E91,'HOURLY RATES'!C$6:D$105,2,0)=0,$E$3,VLOOKUP(E91,'HOURLY RATES'!C$6:D$105,2,0))</f>
        <v>54</v>
      </c>
      <c r="N91" s="58">
        <f t="shared" si="66"/>
        <v>600.11279999999999</v>
      </c>
      <c r="O91" s="61">
        <v>0.8</v>
      </c>
      <c r="P91" s="61">
        <f t="shared" si="67"/>
        <v>493.92</v>
      </c>
      <c r="Q91" s="62">
        <f t="shared" si="68"/>
        <v>1094.0328</v>
      </c>
      <c r="R91" s="155"/>
      <c r="S91" s="131">
        <f>((((N91*(1+$D$7))+(P91*(1+$D$5+$D$6)))*(1+$D$8)))/I91</f>
        <v>2.21490864</v>
      </c>
      <c r="T91" s="130">
        <f t="shared" si="69"/>
        <v>1367.4845943359999</v>
      </c>
    </row>
    <row r="92" spans="1:20" s="7" customFormat="1" x14ac:dyDescent="0.25">
      <c r="A92" s="152"/>
      <c r="B92" s="50"/>
      <c r="C92" s="63"/>
      <c r="D92" s="100"/>
      <c r="E92" s="178"/>
      <c r="F92" s="103"/>
      <c r="G92" s="51"/>
      <c r="H92" s="52"/>
      <c r="I92" s="53"/>
      <c r="J92" s="99"/>
      <c r="K92" s="153"/>
      <c r="L92" s="60"/>
      <c r="M92" s="58"/>
      <c r="N92" s="58"/>
      <c r="O92" s="61"/>
      <c r="P92" s="61"/>
      <c r="Q92" s="62"/>
      <c r="R92" s="155"/>
      <c r="S92" s="131"/>
      <c r="T92" s="130"/>
    </row>
    <row r="93" spans="1:20" s="7" customFormat="1" x14ac:dyDescent="0.25">
      <c r="A93" s="152" t="str">
        <f>IF(J93&lt;&gt;"",1+MAX($A$18:A92),"")</f>
        <v/>
      </c>
      <c r="B93" s="109"/>
      <c r="C93" s="110"/>
      <c r="D93" s="100"/>
      <c r="E93" s="179"/>
      <c r="F93" s="172" t="s">
        <v>725</v>
      </c>
      <c r="G93" s="112"/>
      <c r="H93" s="113"/>
      <c r="I93" s="114"/>
      <c r="J93" s="99"/>
      <c r="K93" s="153"/>
      <c r="L93" s="156"/>
      <c r="M93" s="157"/>
      <c r="N93" s="157"/>
      <c r="O93" s="158"/>
      <c r="P93" s="158"/>
      <c r="Q93" s="159"/>
      <c r="R93" s="155"/>
      <c r="S93" s="131"/>
      <c r="T93" s="130"/>
    </row>
    <row r="94" spans="1:20" s="7" customFormat="1" ht="46.8" x14ac:dyDescent="0.25">
      <c r="A94" s="152">
        <f>IF(J94&lt;&gt;"",1+MAX($A$18:A92),"")</f>
        <v>44</v>
      </c>
      <c r="B94" s="109"/>
      <c r="C94" s="109"/>
      <c r="D94" s="100" t="s">
        <v>35</v>
      </c>
      <c r="E94" s="179" t="s">
        <v>86</v>
      </c>
      <c r="F94" s="176" t="s">
        <v>815</v>
      </c>
      <c r="G94" s="112">
        <v>4298</v>
      </c>
      <c r="H94" s="113">
        <v>0.05</v>
      </c>
      <c r="I94" s="114">
        <f t="shared" ref="I94:I98" si="70">(G94*(1+H94))</f>
        <v>4512.9000000000005</v>
      </c>
      <c r="J94" s="99" t="s">
        <v>224</v>
      </c>
      <c r="K94" s="153">
        <v>0.02</v>
      </c>
      <c r="L94" s="156">
        <f t="shared" ref="L94:L98" si="71">K94*I94</f>
        <v>90.25800000000001</v>
      </c>
      <c r="M94" s="58">
        <f>IF(VLOOKUP(E94,'HOURLY RATES'!C$6:D$105,2,0)=0,$E$3,VLOOKUP(E94,'HOURLY RATES'!C$6:D$105,2,0))</f>
        <v>54</v>
      </c>
      <c r="N94" s="157">
        <f t="shared" ref="N94:N98" si="72">M94*L94</f>
        <v>4873.9320000000007</v>
      </c>
      <c r="O94" s="158">
        <v>0.8</v>
      </c>
      <c r="P94" s="158">
        <f t="shared" ref="P94:P98" si="73">O94*I94</f>
        <v>3610.3200000000006</v>
      </c>
      <c r="Q94" s="159">
        <f t="shared" ref="Q94:Q98" si="74">P94+N94</f>
        <v>8484.2520000000004</v>
      </c>
      <c r="R94" s="155"/>
      <c r="S94" s="131">
        <f>((((N94*(1+$D$7))+(P94*(1+$D$5+$D$6)))*(1+$D$8)))/I94</f>
        <v>2.3464526399999994</v>
      </c>
      <c r="T94" s="130">
        <f t="shared" ref="T94:T98" si="75">S94*I94</f>
        <v>10589.306119055998</v>
      </c>
    </row>
    <row r="95" spans="1:20" s="7" customFormat="1" ht="46.8" x14ac:dyDescent="0.25">
      <c r="A95" s="152">
        <f>IF(J95&lt;&gt;"",1+MAX($A$18:A94),"")</f>
        <v>45</v>
      </c>
      <c r="B95" s="109"/>
      <c r="C95" s="109"/>
      <c r="D95" s="100" t="s">
        <v>35</v>
      </c>
      <c r="E95" s="179" t="s">
        <v>86</v>
      </c>
      <c r="F95" s="176" t="s">
        <v>818</v>
      </c>
      <c r="G95" s="112">
        <v>8174</v>
      </c>
      <c r="H95" s="113">
        <v>0.05</v>
      </c>
      <c r="I95" s="114">
        <f t="shared" si="70"/>
        <v>8582.7000000000007</v>
      </c>
      <c r="J95" s="99" t="s">
        <v>224</v>
      </c>
      <c r="K95" s="153">
        <v>0.02</v>
      </c>
      <c r="L95" s="156">
        <f t="shared" si="71"/>
        <v>171.65400000000002</v>
      </c>
      <c r="M95" s="58">
        <f>IF(VLOOKUP(E95,'HOURLY RATES'!C$6:D$105,2,0)=0,$E$3,VLOOKUP(E95,'HOURLY RATES'!C$6:D$105,2,0))</f>
        <v>54</v>
      </c>
      <c r="N95" s="157">
        <f t="shared" si="72"/>
        <v>9269.3160000000007</v>
      </c>
      <c r="O95" s="158">
        <v>0.8</v>
      </c>
      <c r="P95" s="158">
        <f t="shared" si="73"/>
        <v>6866.1600000000008</v>
      </c>
      <c r="Q95" s="159">
        <f t="shared" si="74"/>
        <v>16135.476000000002</v>
      </c>
      <c r="R95" s="155"/>
      <c r="S95" s="131">
        <f>((((N95*(1+$D$7))+(P95*(1+$D$5+$D$6)))*(1+$D$8)))/I95</f>
        <v>2.3464526399999999</v>
      </c>
      <c r="T95" s="130">
        <f t="shared" si="75"/>
        <v>20138.899073328001</v>
      </c>
    </row>
    <row r="96" spans="1:20" s="7" customFormat="1" ht="46.8" x14ac:dyDescent="0.25">
      <c r="A96" s="152">
        <f>IF(J96&lt;&gt;"",1+MAX($A$18:A94),"")</f>
        <v>45</v>
      </c>
      <c r="B96" s="109"/>
      <c r="C96" s="109"/>
      <c r="D96" s="100" t="s">
        <v>35</v>
      </c>
      <c r="E96" s="179" t="s">
        <v>86</v>
      </c>
      <c r="F96" s="176" t="s">
        <v>819</v>
      </c>
      <c r="G96" s="112">
        <v>337</v>
      </c>
      <c r="H96" s="113">
        <v>0.05</v>
      </c>
      <c r="I96" s="114">
        <f t="shared" ref="I96" si="76">(G96*(1+H96))</f>
        <v>353.85</v>
      </c>
      <c r="J96" s="99" t="s">
        <v>224</v>
      </c>
      <c r="K96" s="153">
        <v>0.02</v>
      </c>
      <c r="L96" s="156">
        <f t="shared" ref="L96" si="77">K96*I96</f>
        <v>7.0770000000000008</v>
      </c>
      <c r="M96" s="58">
        <f>IF(VLOOKUP(E96,'HOURLY RATES'!C$6:D$105,2,0)=0,$E$3,VLOOKUP(E96,'HOURLY RATES'!C$6:D$105,2,0))</f>
        <v>54</v>
      </c>
      <c r="N96" s="157">
        <f t="shared" ref="N96" si="78">M96*L96</f>
        <v>382.15800000000007</v>
      </c>
      <c r="O96" s="158">
        <v>0.8</v>
      </c>
      <c r="P96" s="158">
        <f t="shared" ref="P96" si="79">O96*I96</f>
        <v>283.08000000000004</v>
      </c>
      <c r="Q96" s="159">
        <f t="shared" ref="Q96" si="80">P96+N96</f>
        <v>665.23800000000006</v>
      </c>
      <c r="R96" s="155"/>
      <c r="S96" s="131">
        <f>((((N96*(1+$D$7))+(P96*(1+$D$5+$D$6)))*(1+$D$8)))/I96</f>
        <v>2.3464526399999999</v>
      </c>
      <c r="T96" s="130">
        <f t="shared" ref="T96" si="81">S96*I96</f>
        <v>830.29226666399995</v>
      </c>
    </row>
    <row r="97" spans="1:20" s="7" customFormat="1" ht="46.8" x14ac:dyDescent="0.25">
      <c r="A97" s="152">
        <f>IF(J97&lt;&gt;"",1+MAX($A$18:A94),"")</f>
        <v>45</v>
      </c>
      <c r="B97" s="109"/>
      <c r="C97" s="109"/>
      <c r="D97" s="100" t="s">
        <v>35</v>
      </c>
      <c r="E97" s="179" t="s">
        <v>86</v>
      </c>
      <c r="F97" s="176" t="s">
        <v>814</v>
      </c>
      <c r="G97" s="112">
        <v>448</v>
      </c>
      <c r="H97" s="113">
        <v>0.05</v>
      </c>
      <c r="I97" s="114">
        <f t="shared" si="70"/>
        <v>470.40000000000003</v>
      </c>
      <c r="J97" s="99" t="s">
        <v>226</v>
      </c>
      <c r="K97" s="153">
        <v>1.7999999999999999E-2</v>
      </c>
      <c r="L97" s="156">
        <f t="shared" si="71"/>
        <v>8.4672000000000001</v>
      </c>
      <c r="M97" s="58">
        <f>IF(VLOOKUP(E97,'HOURLY RATES'!C$6:D$105,2,0)=0,$E$3,VLOOKUP(E97,'HOURLY RATES'!C$6:D$105,2,0))</f>
        <v>54</v>
      </c>
      <c r="N97" s="157">
        <f t="shared" si="72"/>
        <v>457.22879999999998</v>
      </c>
      <c r="O97" s="158">
        <v>0.8</v>
      </c>
      <c r="P97" s="158">
        <f t="shared" si="73"/>
        <v>376.32000000000005</v>
      </c>
      <c r="Q97" s="159">
        <f t="shared" si="74"/>
        <v>833.54880000000003</v>
      </c>
      <c r="R97" s="155"/>
      <c r="S97" s="131">
        <f t="shared" ref="S97" si="82">((((N97*(1+$D$7))+(P97*(1+$D$5+$D$6)))*(1+$D$8)))/I97</f>
        <v>2.2149086399999995</v>
      </c>
      <c r="T97" s="130">
        <f t="shared" si="75"/>
        <v>1041.8930242559998</v>
      </c>
    </row>
    <row r="98" spans="1:20" s="7" customFormat="1" ht="46.8" x14ac:dyDescent="0.25">
      <c r="A98" s="152">
        <f>IF(J98&lt;&gt;"",1+MAX($A$18:A94),"")</f>
        <v>45</v>
      </c>
      <c r="B98" s="109"/>
      <c r="C98" s="109"/>
      <c r="D98" s="100" t="s">
        <v>35</v>
      </c>
      <c r="E98" s="179" t="s">
        <v>86</v>
      </c>
      <c r="F98" s="176" t="s">
        <v>781</v>
      </c>
      <c r="G98" s="112">
        <v>2220</v>
      </c>
      <c r="H98" s="113">
        <v>0.05</v>
      </c>
      <c r="I98" s="114">
        <f t="shared" si="70"/>
        <v>2331</v>
      </c>
      <c r="J98" s="99" t="s">
        <v>226</v>
      </c>
      <c r="K98" s="153">
        <v>1.7999999999999999E-2</v>
      </c>
      <c r="L98" s="156">
        <f t="shared" si="71"/>
        <v>41.957999999999998</v>
      </c>
      <c r="M98" s="58">
        <f>IF(VLOOKUP(E98,'HOURLY RATES'!C$6:D$105,2,0)=0,$E$3,VLOOKUP(E98,'HOURLY RATES'!C$6:D$105,2,0))</f>
        <v>54</v>
      </c>
      <c r="N98" s="157">
        <f t="shared" si="72"/>
        <v>2265.732</v>
      </c>
      <c r="O98" s="158">
        <v>0.8</v>
      </c>
      <c r="P98" s="158">
        <f t="shared" si="73"/>
        <v>1864.8000000000002</v>
      </c>
      <c r="Q98" s="159">
        <f t="shared" si="74"/>
        <v>4130.5320000000002</v>
      </c>
      <c r="R98" s="155"/>
      <c r="S98" s="131">
        <f t="shared" ref="S98" si="83">((((N98*(1+$D$7))+(P98*(1+$D$5+$D$6)))*(1+$D$8)))/I98</f>
        <v>2.21490864</v>
      </c>
      <c r="T98" s="130">
        <f t="shared" si="75"/>
        <v>5162.95203984</v>
      </c>
    </row>
    <row r="99" spans="1:20" s="7" customFormat="1" ht="46.8" x14ac:dyDescent="0.25">
      <c r="A99" s="152">
        <f>IF(J99&lt;&gt;"",1+MAX($A$18:A95),"")</f>
        <v>46</v>
      </c>
      <c r="B99" s="109"/>
      <c r="C99" s="109"/>
      <c r="D99" s="100" t="s">
        <v>35</v>
      </c>
      <c r="E99" s="179" t="s">
        <v>86</v>
      </c>
      <c r="F99" s="176" t="s">
        <v>821</v>
      </c>
      <c r="G99" s="112">
        <v>63</v>
      </c>
      <c r="H99" s="113">
        <v>0.05</v>
      </c>
      <c r="I99" s="114">
        <f t="shared" ref="I99" si="84">(G99*(1+H99))</f>
        <v>66.150000000000006</v>
      </c>
      <c r="J99" s="99" t="s">
        <v>226</v>
      </c>
      <c r="K99" s="153">
        <v>1.7999999999999999E-2</v>
      </c>
      <c r="L99" s="156">
        <f t="shared" ref="L99" si="85">K99*I99</f>
        <v>1.1907000000000001</v>
      </c>
      <c r="M99" s="58">
        <f>IF(VLOOKUP(E99,'HOURLY RATES'!C$6:D$105,2,0)=0,$E$3,VLOOKUP(E99,'HOURLY RATES'!C$6:D$105,2,0))</f>
        <v>54</v>
      </c>
      <c r="N99" s="157">
        <f t="shared" ref="N99" si="86">M99*L99</f>
        <v>64.297800000000009</v>
      </c>
      <c r="O99" s="158">
        <v>0.8</v>
      </c>
      <c r="P99" s="158">
        <f t="shared" ref="P99" si="87">O99*I99</f>
        <v>52.920000000000009</v>
      </c>
      <c r="Q99" s="159">
        <f t="shared" ref="Q99" si="88">P99+N99</f>
        <v>117.21780000000001</v>
      </c>
      <c r="R99" s="155"/>
      <c r="S99" s="131">
        <f t="shared" ref="S99" si="89">((((N99*(1+$D$7))+(P99*(1+$D$5+$D$6)))*(1+$D$8)))/I99</f>
        <v>2.21490864</v>
      </c>
      <c r="T99" s="130">
        <f t="shared" ref="T99" si="90">S99*I99</f>
        <v>146.516206536</v>
      </c>
    </row>
    <row r="100" spans="1:20" s="7" customFormat="1" x14ac:dyDescent="0.25">
      <c r="A100" s="152" t="str">
        <f>IF(J100&lt;&gt;"",1+MAX($A$18:A98),"")</f>
        <v/>
      </c>
      <c r="B100" s="50"/>
      <c r="C100" s="50"/>
      <c r="D100" s="100"/>
      <c r="E100" s="178"/>
      <c r="F100" s="175" t="s">
        <v>222</v>
      </c>
      <c r="G100" s="51"/>
      <c r="H100" s="52"/>
      <c r="I100" s="53"/>
      <c r="J100" s="99"/>
      <c r="K100" s="153"/>
      <c r="L100" s="60"/>
      <c r="M100" s="58"/>
      <c r="N100" s="58"/>
      <c r="O100" s="61"/>
      <c r="P100" s="61"/>
      <c r="Q100" s="62"/>
      <c r="R100" s="155"/>
      <c r="S100" s="131"/>
      <c r="T100" s="130"/>
    </row>
    <row r="101" spans="1:20" s="7" customFormat="1" ht="18" x14ac:dyDescent="0.25">
      <c r="A101" s="152" t="str">
        <f>IF(J101&lt;&gt;"",1+MAX($A$18:A100),"")</f>
        <v/>
      </c>
      <c r="B101" s="50"/>
      <c r="C101" s="63"/>
      <c r="D101" s="100"/>
      <c r="E101" s="178"/>
      <c r="F101" s="173" t="s">
        <v>720</v>
      </c>
      <c r="G101" s="51"/>
      <c r="H101" s="52"/>
      <c r="I101" s="53"/>
      <c r="J101" s="99"/>
      <c r="K101" s="153"/>
      <c r="L101" s="60"/>
      <c r="M101" s="58"/>
      <c r="N101" s="58"/>
      <c r="O101" s="61"/>
      <c r="P101" s="61"/>
      <c r="Q101" s="62"/>
      <c r="R101" s="155"/>
      <c r="S101" s="131"/>
      <c r="T101" s="130"/>
    </row>
    <row r="102" spans="1:20" s="7" customFormat="1" x14ac:dyDescent="0.25">
      <c r="A102" s="152">
        <f>IF(J102&lt;&gt;"",1+MAX($A$18:A101),"")</f>
        <v>47</v>
      </c>
      <c r="B102" s="50"/>
      <c r="C102" s="63"/>
      <c r="D102" s="100"/>
      <c r="E102" s="178"/>
      <c r="F102" s="177" t="s">
        <v>762</v>
      </c>
      <c r="G102" s="108">
        <v>9</v>
      </c>
      <c r="H102" s="52"/>
      <c r="I102" s="53"/>
      <c r="J102" s="99" t="s">
        <v>225</v>
      </c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0" s="7" customFormat="1" x14ac:dyDescent="0.25">
      <c r="A103" s="152" t="str">
        <f>IF(J103&lt;&gt;"",1+MAX($A$18:A102),"")</f>
        <v/>
      </c>
      <c r="B103" s="50"/>
      <c r="C103" s="63"/>
      <c r="D103" s="100"/>
      <c r="E103" s="178"/>
      <c r="F103" s="172" t="s">
        <v>722</v>
      </c>
      <c r="G103" s="51"/>
      <c r="H103" s="52"/>
      <c r="I103" s="53"/>
      <c r="J103" s="99"/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0" s="7" customFormat="1" ht="31.2" x14ac:dyDescent="0.25">
      <c r="A104" s="152">
        <f>IF(J104&lt;&gt;"",1+MAX($A$18:A103),"")</f>
        <v>48</v>
      </c>
      <c r="B104" s="50"/>
      <c r="C104" s="50"/>
      <c r="D104" s="100" t="s">
        <v>35</v>
      </c>
      <c r="E104" s="178" t="s">
        <v>104</v>
      </c>
      <c r="F104" s="175" t="s">
        <v>758</v>
      </c>
      <c r="G104" s="51">
        <f>796*9</f>
        <v>7164</v>
      </c>
      <c r="H104" s="52">
        <f>IF(VLOOKUP(J104,'HOURLY RATES'!B$116:C$124,2,0)=0,$J$3,VLOOKUP(J104,'HOURLY RATES'!B$116:C$124,2,0))</f>
        <v>0.05</v>
      </c>
      <c r="I104" s="53">
        <f t="shared" ref="I104" si="91">(G104*(1+H104))</f>
        <v>7522.2000000000007</v>
      </c>
      <c r="J104" s="99" t="s">
        <v>224</v>
      </c>
      <c r="K104" s="153">
        <v>2.1999999999999999E-2</v>
      </c>
      <c r="L104" s="60">
        <f t="shared" ref="L104" si="92">K104*I104</f>
        <v>165.48840000000001</v>
      </c>
      <c r="M104" s="58">
        <f>IF(VLOOKUP(E104,'HOURLY RATES'!C$6:D$105,2,0)=0,$E$3,VLOOKUP(E104,'HOURLY RATES'!C$6:D$105,2,0))</f>
        <v>54</v>
      </c>
      <c r="N104" s="58">
        <f t="shared" ref="N104" si="93">M104*L104</f>
        <v>8936.3736000000008</v>
      </c>
      <c r="O104" s="61">
        <v>0.4</v>
      </c>
      <c r="P104" s="61">
        <f t="shared" ref="P104" si="94">O104*I104</f>
        <v>3008.8800000000006</v>
      </c>
      <c r="Q104" s="62">
        <f t="shared" ref="Q104" si="95">P104+N104</f>
        <v>11945.253600000002</v>
      </c>
      <c r="R104" s="155"/>
      <c r="S104" s="131">
        <f>((((N104*(1+$D$7))+(P104*(1+$D$5+$D$6)))*(1+$D$8)))/I104</f>
        <v>1.9624903199999997</v>
      </c>
      <c r="T104" s="130">
        <f t="shared" ref="T104" si="96">S104*I104</f>
        <v>14762.244685103999</v>
      </c>
    </row>
    <row r="105" spans="1:20" s="7" customFormat="1" x14ac:dyDescent="0.25">
      <c r="A105" s="152"/>
      <c r="B105" s="50"/>
      <c r="C105" s="63"/>
      <c r="D105" s="100"/>
      <c r="E105" s="178"/>
      <c r="F105" s="103"/>
      <c r="G105" s="51"/>
      <c r="H105" s="52"/>
      <c r="I105" s="53"/>
      <c r="J105" s="99"/>
      <c r="K105" s="153"/>
      <c r="L105" s="60"/>
      <c r="M105" s="58"/>
      <c r="N105" s="58"/>
      <c r="O105" s="61"/>
      <c r="P105" s="61"/>
      <c r="Q105" s="62"/>
      <c r="R105" s="155"/>
      <c r="S105" s="131"/>
      <c r="T105" s="130"/>
    </row>
    <row r="106" spans="1:20" s="7" customFormat="1" x14ac:dyDescent="0.25">
      <c r="A106" s="152" t="str">
        <f>IF(J106&lt;&gt;"",1+MAX($A$18:A104),"")</f>
        <v/>
      </c>
      <c r="B106" s="50"/>
      <c r="C106" s="63"/>
      <c r="D106" s="100"/>
      <c r="E106" s="178"/>
      <c r="F106" s="172" t="s">
        <v>719</v>
      </c>
      <c r="G106" s="51"/>
      <c r="H106" s="52"/>
      <c r="I106" s="53"/>
      <c r="J106" s="99"/>
      <c r="K106" s="153"/>
      <c r="L106" s="60"/>
      <c r="M106" s="58"/>
      <c r="N106" s="58"/>
      <c r="O106" s="61"/>
      <c r="P106" s="61"/>
      <c r="Q106" s="62"/>
      <c r="R106" s="155"/>
      <c r="S106" s="131"/>
      <c r="T106" s="130"/>
    </row>
    <row r="107" spans="1:20" s="7" customFormat="1" ht="31.2" x14ac:dyDescent="0.25">
      <c r="A107" s="152">
        <f>IF(J107&lt;&gt;"",1+MAX($A$18:A106),"")</f>
        <v>49</v>
      </c>
      <c r="B107" s="50"/>
      <c r="C107" s="50"/>
      <c r="D107" s="100" t="s">
        <v>35</v>
      </c>
      <c r="E107" s="178" t="s">
        <v>104</v>
      </c>
      <c r="F107" s="175" t="s">
        <v>760</v>
      </c>
      <c r="G107" s="51">
        <f>275*9</f>
        <v>2475</v>
      </c>
      <c r="H107" s="52">
        <f>IF(VLOOKUP(J107,'HOURLY RATES'!B$116:C$124,2,0)=0,$J$3,VLOOKUP(J107,'HOURLY RATES'!B$116:C$124,2,0))</f>
        <v>0.05</v>
      </c>
      <c r="I107" s="53">
        <f t="shared" ref="I107:I111" si="97">(G107*(1+H107))</f>
        <v>2598.75</v>
      </c>
      <c r="J107" s="99" t="s">
        <v>226</v>
      </c>
      <c r="K107" s="153">
        <v>1.7999999999999999E-2</v>
      </c>
      <c r="L107" s="60">
        <f t="shared" ref="L107" si="98">K107*I107</f>
        <v>46.777499999999996</v>
      </c>
      <c r="M107" s="58">
        <f>IF(VLOOKUP(E107,'HOURLY RATES'!C$6:D$105,2,0)=0,$E$3,VLOOKUP(E107,'HOURLY RATES'!C$6:D$105,2,0))</f>
        <v>54</v>
      </c>
      <c r="N107" s="58">
        <f t="shared" ref="N107" si="99">M107*L107</f>
        <v>2525.9849999999997</v>
      </c>
      <c r="O107" s="61">
        <v>0.8</v>
      </c>
      <c r="P107" s="61">
        <f t="shared" ref="P107:P111" si="100">O107*I107</f>
        <v>2079</v>
      </c>
      <c r="Q107" s="62">
        <f t="shared" ref="Q107:Q111" si="101">P107+N107</f>
        <v>4604.9849999999997</v>
      </c>
      <c r="R107" s="155"/>
      <c r="S107" s="131">
        <f>((((N107*(1+$D$7))+(P107*(1+$D$5+$D$6)))*(1+$D$8)))/I107</f>
        <v>2.2149086399999995</v>
      </c>
      <c r="T107" s="130">
        <f t="shared" ref="T107:T111" si="102">S107*I107</f>
        <v>5755.9938281999985</v>
      </c>
    </row>
    <row r="108" spans="1:20" s="7" customFormat="1" x14ac:dyDescent="0.25">
      <c r="A108" s="152"/>
      <c r="B108" s="50"/>
      <c r="C108" s="63"/>
      <c r="D108" s="100"/>
      <c r="E108" s="178"/>
      <c r="F108" s="103"/>
      <c r="G108" s="51"/>
      <c r="H108" s="52"/>
      <c r="I108" s="53"/>
      <c r="J108" s="99"/>
      <c r="K108" s="153"/>
      <c r="L108" s="60"/>
      <c r="M108" s="58"/>
      <c r="N108" s="58"/>
      <c r="O108" s="61"/>
      <c r="P108" s="61"/>
      <c r="Q108" s="62"/>
      <c r="R108" s="155"/>
      <c r="S108" s="131"/>
      <c r="T108" s="130"/>
    </row>
    <row r="109" spans="1:20" s="7" customFormat="1" x14ac:dyDescent="0.25">
      <c r="A109" s="152" t="str">
        <f>IF(J109&lt;&gt;"",1+MAX($A$18:A107),"")</f>
        <v/>
      </c>
      <c r="B109" s="50"/>
      <c r="C109" s="63"/>
      <c r="D109" s="100"/>
      <c r="E109" s="178"/>
      <c r="F109" s="172" t="s">
        <v>223</v>
      </c>
      <c r="G109" s="51"/>
      <c r="H109" s="52"/>
      <c r="I109" s="53"/>
      <c r="J109" s="99"/>
      <c r="K109" s="153"/>
      <c r="L109" s="60"/>
      <c r="M109" s="58"/>
      <c r="N109" s="58"/>
      <c r="O109" s="61"/>
      <c r="P109" s="61"/>
      <c r="Q109" s="62"/>
      <c r="R109" s="155"/>
      <c r="S109" s="131"/>
      <c r="T109" s="130"/>
    </row>
    <row r="110" spans="1:20" s="7" customFormat="1" ht="31.2" x14ac:dyDescent="0.25">
      <c r="A110" s="152">
        <f>IF(J110&lt;&gt;"",1+MAX($A$18:A109),"")</f>
        <v>50</v>
      </c>
      <c r="B110" s="50"/>
      <c r="C110" s="50"/>
      <c r="D110" s="100" t="s">
        <v>35</v>
      </c>
      <c r="E110" s="178" t="s">
        <v>104</v>
      </c>
      <c r="F110" s="175" t="s">
        <v>757</v>
      </c>
      <c r="G110" s="51">
        <f>2646*9</f>
        <v>23814</v>
      </c>
      <c r="H110" s="52">
        <f>IF(VLOOKUP(J110,'HOURLY RATES'!B$116:C$124,2,0)=0,$J$3,VLOOKUP(J110,'HOURLY RATES'!B$116:C$124,2,0))</f>
        <v>0.05</v>
      </c>
      <c r="I110" s="53">
        <f t="shared" si="97"/>
        <v>25004.7</v>
      </c>
      <c r="J110" s="99" t="s">
        <v>224</v>
      </c>
      <c r="K110" s="153">
        <v>0.02</v>
      </c>
      <c r="L110" s="60">
        <f t="shared" ref="L110:L111" si="103">K110*I110</f>
        <v>500.09400000000005</v>
      </c>
      <c r="M110" s="58">
        <f>IF(VLOOKUP(E110,'HOURLY RATES'!C$6:D$105,2,0)=0,$E$3,VLOOKUP(E110,'HOURLY RATES'!C$6:D$105,2,0))</f>
        <v>54</v>
      </c>
      <c r="N110" s="58">
        <f t="shared" ref="N110:N111" si="104">M110*L110</f>
        <v>27005.076000000001</v>
      </c>
      <c r="O110" s="61">
        <v>0.4</v>
      </c>
      <c r="P110" s="61">
        <f t="shared" si="100"/>
        <v>10001.880000000001</v>
      </c>
      <c r="Q110" s="62">
        <f t="shared" si="101"/>
        <v>37006.956000000006</v>
      </c>
      <c r="R110" s="155"/>
      <c r="S110" s="131">
        <f>((((N110*(1+$D$7))+(P110*(1+$D$5+$D$6)))*(1+$D$8)))/I110</f>
        <v>1.8309463199999998</v>
      </c>
      <c r="T110" s="130">
        <f t="shared" si="102"/>
        <v>45782.263447703997</v>
      </c>
    </row>
    <row r="111" spans="1:20" s="7" customFormat="1" ht="31.2" x14ac:dyDescent="0.25">
      <c r="A111" s="152">
        <f>IF(J111&lt;&gt;"",1+MAX($A$18:A110),"")</f>
        <v>51</v>
      </c>
      <c r="B111" s="50"/>
      <c r="C111" s="50"/>
      <c r="D111" s="100" t="s">
        <v>35</v>
      </c>
      <c r="E111" s="178" t="s">
        <v>104</v>
      </c>
      <c r="F111" s="175" t="s">
        <v>759</v>
      </c>
      <c r="G111" s="51">
        <f>979*8</f>
        <v>7832</v>
      </c>
      <c r="H111" s="52">
        <f>IF(VLOOKUP(J111,'HOURLY RATES'!B$116:C$124,2,0)=0,$J$3,VLOOKUP(J111,'HOURLY RATES'!B$116:C$124,2,0))</f>
        <v>0.05</v>
      </c>
      <c r="I111" s="53">
        <f t="shared" si="97"/>
        <v>8223.6</v>
      </c>
      <c r="J111" s="99" t="s">
        <v>224</v>
      </c>
      <c r="K111" s="153">
        <v>0.02</v>
      </c>
      <c r="L111" s="60">
        <f t="shared" si="103"/>
        <v>164.47200000000001</v>
      </c>
      <c r="M111" s="58">
        <f>IF(VLOOKUP(E111,'HOURLY RATES'!C$6:D$105,2,0)=0,$E$3,VLOOKUP(E111,'HOURLY RATES'!C$6:D$105,2,0))</f>
        <v>54</v>
      </c>
      <c r="N111" s="58">
        <f t="shared" si="104"/>
        <v>8881.4880000000012</v>
      </c>
      <c r="O111" s="61">
        <v>0.4</v>
      </c>
      <c r="P111" s="61">
        <f t="shared" si="100"/>
        <v>3289.4400000000005</v>
      </c>
      <c r="Q111" s="62">
        <f t="shared" si="101"/>
        <v>12170.928000000002</v>
      </c>
      <c r="R111" s="155"/>
      <c r="S111" s="131">
        <f>((((N111*(1+$D$7))+(P111*(1+$D$5+$D$6)))*(1+$D$8)))/I111</f>
        <v>1.83094632</v>
      </c>
      <c r="T111" s="130">
        <f t="shared" si="102"/>
        <v>15056.970157152</v>
      </c>
    </row>
    <row r="112" spans="1:20" s="7" customFormat="1" x14ac:dyDescent="0.25">
      <c r="A112" s="152"/>
      <c r="B112" s="50"/>
      <c r="C112" s="63"/>
      <c r="D112" s="100"/>
      <c r="E112" s="178"/>
      <c r="F112" s="103"/>
      <c r="G112" s="51"/>
      <c r="H112" s="52"/>
      <c r="I112" s="53"/>
      <c r="J112" s="99"/>
      <c r="K112" s="153"/>
      <c r="L112" s="60"/>
      <c r="M112" s="58"/>
      <c r="N112" s="58"/>
      <c r="O112" s="61"/>
      <c r="P112" s="61"/>
      <c r="Q112" s="62"/>
      <c r="R112" s="155"/>
      <c r="S112" s="131"/>
      <c r="T112" s="130"/>
    </row>
    <row r="113" spans="1:20" s="7" customFormat="1" x14ac:dyDescent="0.25">
      <c r="A113" s="152" t="str">
        <f>IF(J113&lt;&gt;"",1+MAX($A$18:A110),"")</f>
        <v/>
      </c>
      <c r="B113" s="50"/>
      <c r="C113" s="63"/>
      <c r="D113" s="100"/>
      <c r="E113" s="178"/>
      <c r="F113" s="172" t="s">
        <v>723</v>
      </c>
      <c r="G113" s="51"/>
      <c r="H113" s="52"/>
      <c r="I113" s="53"/>
      <c r="J113" s="99"/>
      <c r="K113" s="153"/>
      <c r="L113" s="60"/>
      <c r="M113" s="58"/>
      <c r="N113" s="58"/>
      <c r="O113" s="61"/>
      <c r="P113" s="61"/>
      <c r="Q113" s="62"/>
      <c r="R113" s="155"/>
      <c r="S113" s="131"/>
      <c r="T113" s="130"/>
    </row>
    <row r="114" spans="1:20" s="7" customFormat="1" ht="31.2" x14ac:dyDescent="0.25">
      <c r="A114" s="152">
        <f>IF(J114&lt;&gt;"",1+MAX($A$18:A113),"")</f>
        <v>52</v>
      </c>
      <c r="B114" s="50"/>
      <c r="C114" s="50"/>
      <c r="D114" s="100" t="s">
        <v>35</v>
      </c>
      <c r="E114" s="178" t="s">
        <v>104</v>
      </c>
      <c r="F114" s="175" t="s">
        <v>804</v>
      </c>
      <c r="G114" s="51">
        <f>9*9</f>
        <v>81</v>
      </c>
      <c r="H114" s="52">
        <f>IF(VLOOKUP(J114,'HOURLY RATES'!B$116:C$124,2,0)=0,$J$3,VLOOKUP(J114,'HOURLY RATES'!B$116:C$124,2,0))</f>
        <v>0</v>
      </c>
      <c r="I114" s="53">
        <f t="shared" ref="I114:I116" si="105">(G114*(1+H114))</f>
        <v>81</v>
      </c>
      <c r="J114" s="99" t="s">
        <v>225</v>
      </c>
      <c r="K114" s="153">
        <v>1.23</v>
      </c>
      <c r="L114" s="60">
        <f t="shared" ref="L114:L116" si="106">K114*I114</f>
        <v>99.63</v>
      </c>
      <c r="M114" s="58">
        <f>IF(VLOOKUP(E114,'HOURLY RATES'!C$6:D$105,2,0)=0,$E$3,VLOOKUP(E114,'HOURLY RATES'!C$6:D$105,2,0))</f>
        <v>54</v>
      </c>
      <c r="N114" s="58">
        <f t="shared" ref="N114:N116" si="107">M114*L114</f>
        <v>5380.0199999999995</v>
      </c>
      <c r="O114" s="61">
        <v>28</v>
      </c>
      <c r="P114" s="61">
        <f t="shared" ref="P114:P116" si="108">O114*I114</f>
        <v>2268</v>
      </c>
      <c r="Q114" s="62">
        <f t="shared" ref="Q114:Q116" si="109">P114+N114</f>
        <v>7648.0199999999995</v>
      </c>
      <c r="R114" s="155"/>
      <c r="S114" s="131">
        <f>((((N114*(1+$D$7))+(P114*(1+$D$5+$D$6)))*(1+$D$8)))/I114</f>
        <v>116.98500239999997</v>
      </c>
      <c r="T114" s="130">
        <f t="shared" ref="T114:T116" si="110">S114*I114</f>
        <v>9475.7851943999976</v>
      </c>
    </row>
    <row r="115" spans="1:20" s="7" customFormat="1" ht="31.2" x14ac:dyDescent="0.25">
      <c r="A115" s="152">
        <f>IF(J115&lt;&gt;"",1+MAX($A$18:A114),"")</f>
        <v>53</v>
      </c>
      <c r="B115" s="50"/>
      <c r="C115" s="50"/>
      <c r="D115" s="100" t="s">
        <v>35</v>
      </c>
      <c r="E115" s="178" t="s">
        <v>104</v>
      </c>
      <c r="F115" s="175" t="s">
        <v>805</v>
      </c>
      <c r="G115" s="51">
        <f>152*9</f>
        <v>1368</v>
      </c>
      <c r="H115" s="52">
        <f>IF(VLOOKUP(J115,'HOURLY RATES'!B$116:C$124,2,0)=0,$J$3,VLOOKUP(J115,'HOURLY RATES'!B$116:C$124,2,0))</f>
        <v>0.05</v>
      </c>
      <c r="I115" s="53">
        <f t="shared" si="105"/>
        <v>1436.4</v>
      </c>
      <c r="J115" s="99" t="s">
        <v>226</v>
      </c>
      <c r="K115" s="153">
        <v>1.7999999999999999E-2</v>
      </c>
      <c r="L115" s="60">
        <f t="shared" si="106"/>
        <v>25.8552</v>
      </c>
      <c r="M115" s="58">
        <f>IF(VLOOKUP(E115,'HOURLY RATES'!C$6:D$105,2,0)=0,$E$3,VLOOKUP(E115,'HOURLY RATES'!C$6:D$105,2,0))</f>
        <v>54</v>
      </c>
      <c r="N115" s="58">
        <f t="shared" si="107"/>
        <v>1396.1808000000001</v>
      </c>
      <c r="O115" s="61">
        <v>0.8</v>
      </c>
      <c r="P115" s="61">
        <f t="shared" si="108"/>
        <v>1149.1200000000001</v>
      </c>
      <c r="Q115" s="62">
        <f t="shared" si="109"/>
        <v>2545.3008</v>
      </c>
      <c r="R115" s="155"/>
      <c r="S115" s="131">
        <f>((((N115*(1+$D$7))+(P115*(1+$D$5+$D$6)))*(1+$D$8)))/I115</f>
        <v>2.2149086399999995</v>
      </c>
      <c r="T115" s="130">
        <f t="shared" si="110"/>
        <v>3181.4947704959995</v>
      </c>
    </row>
    <row r="116" spans="1:20" s="7" customFormat="1" ht="31.2" x14ac:dyDescent="0.25">
      <c r="A116" s="152">
        <f>IF(J116&lt;&gt;"",1+MAX($A$18:A115),"")</f>
        <v>54</v>
      </c>
      <c r="B116" s="50"/>
      <c r="C116" s="50"/>
      <c r="D116" s="100" t="s">
        <v>35</v>
      </c>
      <c r="E116" s="178" t="s">
        <v>104</v>
      </c>
      <c r="F116" s="175" t="s">
        <v>806</v>
      </c>
      <c r="G116" s="51">
        <f>304*9</f>
        <v>2736</v>
      </c>
      <c r="H116" s="52">
        <f>IF(VLOOKUP(J116,'HOURLY RATES'!B$116:C$124,2,0)=0,$J$3,VLOOKUP(J116,'HOURLY RATES'!B$116:C$124,2,0))</f>
        <v>0.05</v>
      </c>
      <c r="I116" s="53">
        <f t="shared" si="105"/>
        <v>2872.8</v>
      </c>
      <c r="J116" s="99" t="s">
        <v>226</v>
      </c>
      <c r="K116" s="153">
        <v>1.7999999999999999E-2</v>
      </c>
      <c r="L116" s="60">
        <f t="shared" si="106"/>
        <v>51.7104</v>
      </c>
      <c r="M116" s="58">
        <f>IF(VLOOKUP(E116,'HOURLY RATES'!C$6:D$105,2,0)=0,$E$3,VLOOKUP(E116,'HOURLY RATES'!C$6:D$105,2,0))</f>
        <v>54</v>
      </c>
      <c r="N116" s="58">
        <f t="shared" si="107"/>
        <v>2792.3616000000002</v>
      </c>
      <c r="O116" s="61">
        <v>0.8</v>
      </c>
      <c r="P116" s="61">
        <f t="shared" si="108"/>
        <v>2298.2400000000002</v>
      </c>
      <c r="Q116" s="62">
        <f t="shared" si="109"/>
        <v>5090.6016</v>
      </c>
      <c r="R116" s="155"/>
      <c r="S116" s="131">
        <f>((((N116*(1+$D$7))+(P116*(1+$D$5+$D$6)))*(1+$D$8)))/I116</f>
        <v>2.2149086399999995</v>
      </c>
      <c r="T116" s="130">
        <f t="shared" si="110"/>
        <v>6362.9895409919991</v>
      </c>
    </row>
    <row r="117" spans="1:20" s="7" customFormat="1" x14ac:dyDescent="0.25">
      <c r="A117" s="152"/>
      <c r="B117" s="50"/>
      <c r="C117" s="63"/>
      <c r="D117" s="100"/>
      <c r="E117" s="178"/>
      <c r="F117" s="103"/>
      <c r="G117" s="51"/>
      <c r="H117" s="52"/>
      <c r="I117" s="53"/>
      <c r="J117" s="99"/>
      <c r="K117" s="153"/>
      <c r="L117" s="60"/>
      <c r="M117" s="58"/>
      <c r="N117" s="58"/>
      <c r="O117" s="61"/>
      <c r="P117" s="61"/>
      <c r="Q117" s="62"/>
      <c r="R117" s="155"/>
      <c r="S117" s="131"/>
      <c r="T117" s="130"/>
    </row>
    <row r="118" spans="1:20" s="7" customFormat="1" x14ac:dyDescent="0.25">
      <c r="A118" s="152">
        <f>IF(J118&lt;&gt;"",1+MAX($A$18:A116),"")</f>
        <v>55</v>
      </c>
      <c r="B118" s="50"/>
      <c r="C118" s="63"/>
      <c r="D118" s="100"/>
      <c r="E118" s="178"/>
      <c r="F118" s="177" t="s">
        <v>751</v>
      </c>
      <c r="G118" s="108">
        <v>3</v>
      </c>
      <c r="H118" s="52"/>
      <c r="I118" s="53"/>
      <c r="J118" s="99" t="s">
        <v>225</v>
      </c>
      <c r="K118" s="153"/>
      <c r="L118" s="60"/>
      <c r="M118" s="58"/>
      <c r="N118" s="58"/>
      <c r="O118" s="61"/>
      <c r="P118" s="61"/>
      <c r="Q118" s="62"/>
      <c r="R118" s="155"/>
      <c r="S118" s="131"/>
      <c r="T118" s="130"/>
    </row>
    <row r="119" spans="1:20" s="7" customFormat="1" x14ac:dyDescent="0.25">
      <c r="A119" s="152" t="str">
        <f>IF(J119&lt;&gt;"",1+MAX($A$18:A118),"")</f>
        <v/>
      </c>
      <c r="B119" s="50"/>
      <c r="C119" s="63"/>
      <c r="D119" s="100"/>
      <c r="E119" s="178"/>
      <c r="F119" s="172" t="s">
        <v>722</v>
      </c>
      <c r="G119" s="51"/>
      <c r="H119" s="52"/>
      <c r="I119" s="53"/>
      <c r="J119" s="99"/>
      <c r="K119" s="153"/>
      <c r="L119" s="60"/>
      <c r="M119" s="58"/>
      <c r="N119" s="58"/>
      <c r="O119" s="61"/>
      <c r="P119" s="61"/>
      <c r="Q119" s="62"/>
      <c r="R119" s="155"/>
      <c r="S119" s="131"/>
      <c r="T119" s="130"/>
    </row>
    <row r="120" spans="1:20" s="7" customFormat="1" ht="31.2" x14ac:dyDescent="0.25">
      <c r="A120" s="152">
        <f>IF(J120&lt;&gt;"",1+MAX($A$18:A119),"")</f>
        <v>56</v>
      </c>
      <c r="B120" s="50"/>
      <c r="C120" s="50"/>
      <c r="D120" s="100" t="s">
        <v>35</v>
      </c>
      <c r="E120" s="178" t="s">
        <v>104</v>
      </c>
      <c r="F120" s="175" t="s">
        <v>758</v>
      </c>
      <c r="G120" s="51">
        <f>966*3</f>
        <v>2898</v>
      </c>
      <c r="H120" s="52">
        <f>IF(VLOOKUP(J120,'HOURLY RATES'!B$116:C$124,2,0)=0,$J$3,VLOOKUP(J120,'HOURLY RATES'!B$116:C$124,2,0))</f>
        <v>0.05</v>
      </c>
      <c r="I120" s="53">
        <f t="shared" ref="I120" si="111">(G120*(1+H120))</f>
        <v>3042.9</v>
      </c>
      <c r="J120" s="99" t="s">
        <v>224</v>
      </c>
      <c r="K120" s="153">
        <v>2.1999999999999999E-2</v>
      </c>
      <c r="L120" s="60">
        <f t="shared" ref="L120" si="112">K120*I120</f>
        <v>66.943799999999996</v>
      </c>
      <c r="M120" s="58">
        <f>IF(VLOOKUP(E120,'HOURLY RATES'!C$6:D$105,2,0)=0,$E$3,VLOOKUP(E120,'HOURLY RATES'!C$6:D$105,2,0))</f>
        <v>54</v>
      </c>
      <c r="N120" s="58">
        <f t="shared" ref="N120" si="113">M120*L120</f>
        <v>3614.9651999999996</v>
      </c>
      <c r="O120" s="61">
        <v>0.4</v>
      </c>
      <c r="P120" s="61">
        <f t="shared" ref="P120" si="114">O120*I120</f>
        <v>1217.1600000000001</v>
      </c>
      <c r="Q120" s="62">
        <f t="shared" ref="Q120" si="115">P120+N120</f>
        <v>4832.1251999999995</v>
      </c>
      <c r="R120" s="155"/>
      <c r="S120" s="131">
        <f>((((N120*(1+$D$7))+(P120*(1+$D$5+$D$6)))*(1+$D$8)))/I120</f>
        <v>1.9624903199999995</v>
      </c>
      <c r="T120" s="130">
        <f t="shared" ref="T120" si="116">S120*I120</f>
        <v>5971.6617947279983</v>
      </c>
    </row>
    <row r="121" spans="1:20" s="7" customFormat="1" x14ac:dyDescent="0.25">
      <c r="A121" s="152"/>
      <c r="B121" s="50"/>
      <c r="C121" s="63"/>
      <c r="D121" s="100"/>
      <c r="E121" s="178"/>
      <c r="F121" s="103"/>
      <c r="G121" s="51"/>
      <c r="H121" s="52"/>
      <c r="I121" s="53"/>
      <c r="J121" s="99"/>
      <c r="K121" s="153"/>
      <c r="L121" s="60"/>
      <c r="M121" s="58"/>
      <c r="N121" s="58"/>
      <c r="O121" s="61"/>
      <c r="P121" s="61"/>
      <c r="Q121" s="62"/>
      <c r="R121" s="155"/>
      <c r="S121" s="131"/>
      <c r="T121" s="130"/>
    </row>
    <row r="122" spans="1:20" s="7" customFormat="1" x14ac:dyDescent="0.25">
      <c r="A122" s="152" t="str">
        <f>IF(J122&lt;&gt;"",1+MAX($A$18:A120),"")</f>
        <v/>
      </c>
      <c r="B122" s="50"/>
      <c r="C122" s="63"/>
      <c r="D122" s="100"/>
      <c r="E122" s="178"/>
      <c r="F122" s="172" t="s">
        <v>719</v>
      </c>
      <c r="G122" s="51"/>
      <c r="H122" s="52"/>
      <c r="I122" s="53"/>
      <c r="J122" s="99"/>
      <c r="K122" s="153"/>
      <c r="L122" s="60"/>
      <c r="M122" s="58"/>
      <c r="N122" s="58"/>
      <c r="O122" s="61"/>
      <c r="P122" s="61"/>
      <c r="Q122" s="62"/>
      <c r="R122" s="155"/>
      <c r="S122" s="131"/>
      <c r="T122" s="130"/>
    </row>
    <row r="123" spans="1:20" s="7" customFormat="1" ht="31.2" x14ac:dyDescent="0.25">
      <c r="A123" s="152">
        <f>IF(J123&lt;&gt;"",1+MAX($A$18:A122),"")</f>
        <v>57</v>
      </c>
      <c r="B123" s="50"/>
      <c r="C123" s="50"/>
      <c r="D123" s="100" t="s">
        <v>35</v>
      </c>
      <c r="E123" s="178" t="s">
        <v>104</v>
      </c>
      <c r="F123" s="175" t="s">
        <v>760</v>
      </c>
      <c r="G123" s="51">
        <f>280*3</f>
        <v>840</v>
      </c>
      <c r="H123" s="52">
        <f>IF(VLOOKUP(J123,'HOURLY RATES'!B$116:C$124,2,0)=0,$J$3,VLOOKUP(J123,'HOURLY RATES'!B$116:C$124,2,0))</f>
        <v>0.05</v>
      </c>
      <c r="I123" s="53">
        <f t="shared" ref="I123:I127" si="117">(G123*(1+H123))</f>
        <v>882</v>
      </c>
      <c r="J123" s="99" t="s">
        <v>226</v>
      </c>
      <c r="K123" s="153">
        <v>1.7999999999999999E-2</v>
      </c>
      <c r="L123" s="60">
        <f t="shared" ref="L123" si="118">K123*I123</f>
        <v>15.875999999999999</v>
      </c>
      <c r="M123" s="58">
        <f>IF(VLOOKUP(E123,'HOURLY RATES'!C$6:D$105,2,0)=0,$E$3,VLOOKUP(E123,'HOURLY RATES'!C$6:D$105,2,0))</f>
        <v>54</v>
      </c>
      <c r="N123" s="58">
        <f t="shared" ref="N123" si="119">M123*L123</f>
        <v>857.30399999999997</v>
      </c>
      <c r="O123" s="61">
        <v>0.8</v>
      </c>
      <c r="P123" s="61">
        <f t="shared" ref="P123:P127" si="120">O123*I123</f>
        <v>705.6</v>
      </c>
      <c r="Q123" s="62">
        <f t="shared" ref="Q123:Q127" si="121">P123+N123</f>
        <v>1562.904</v>
      </c>
      <c r="R123" s="155"/>
      <c r="S123" s="131">
        <f>((((N123*(1+$D$7))+(P123*(1+$D$5+$D$6)))*(1+$D$8)))/I123</f>
        <v>2.2149086399999995</v>
      </c>
      <c r="T123" s="130">
        <f t="shared" ref="T123:T127" si="122">S123*I123</f>
        <v>1953.5494204799995</v>
      </c>
    </row>
    <row r="124" spans="1:20" s="7" customFormat="1" x14ac:dyDescent="0.25">
      <c r="A124" s="152"/>
      <c r="B124" s="50"/>
      <c r="C124" s="63"/>
      <c r="D124" s="100"/>
      <c r="E124" s="178"/>
      <c r="F124" s="103"/>
      <c r="G124" s="51"/>
      <c r="H124" s="52"/>
      <c r="I124" s="53"/>
      <c r="J124" s="99"/>
      <c r="K124" s="153"/>
      <c r="L124" s="60"/>
      <c r="M124" s="58"/>
      <c r="N124" s="58"/>
      <c r="O124" s="61"/>
      <c r="P124" s="61"/>
      <c r="Q124" s="62"/>
      <c r="R124" s="155"/>
      <c r="S124" s="131"/>
      <c r="T124" s="130"/>
    </row>
    <row r="125" spans="1:20" s="7" customFormat="1" x14ac:dyDescent="0.25">
      <c r="A125" s="152" t="str">
        <f>IF(J125&lt;&gt;"",1+MAX($A$18:A123),"")</f>
        <v/>
      </c>
      <c r="B125" s="50"/>
      <c r="C125" s="63"/>
      <c r="D125" s="100"/>
      <c r="E125" s="178"/>
      <c r="F125" s="172" t="s">
        <v>223</v>
      </c>
      <c r="G125" s="51"/>
      <c r="H125" s="52"/>
      <c r="I125" s="53"/>
      <c r="J125" s="99"/>
      <c r="K125" s="153"/>
      <c r="L125" s="60"/>
      <c r="M125" s="58"/>
      <c r="N125" s="58"/>
      <c r="O125" s="61"/>
      <c r="P125" s="61"/>
      <c r="Q125" s="62"/>
      <c r="R125" s="155"/>
      <c r="S125" s="131"/>
      <c r="T125" s="130"/>
    </row>
    <row r="126" spans="1:20" s="7" customFormat="1" ht="31.2" x14ac:dyDescent="0.25">
      <c r="A126" s="152">
        <f>IF(J126&lt;&gt;"",1+MAX($A$18:A125),"")</f>
        <v>58</v>
      </c>
      <c r="B126" s="50"/>
      <c r="C126" s="50"/>
      <c r="D126" s="100" t="s">
        <v>35</v>
      </c>
      <c r="E126" s="178" t="s">
        <v>104</v>
      </c>
      <c r="F126" s="175" t="s">
        <v>757</v>
      </c>
      <c r="G126" s="51">
        <f>2232*3</f>
        <v>6696</v>
      </c>
      <c r="H126" s="52">
        <f>IF(VLOOKUP(J126,'HOURLY RATES'!B$116:C$124,2,0)=0,$J$3,VLOOKUP(J126,'HOURLY RATES'!B$116:C$124,2,0))</f>
        <v>0.05</v>
      </c>
      <c r="I126" s="53">
        <f t="shared" si="117"/>
        <v>7030.8</v>
      </c>
      <c r="J126" s="99" t="s">
        <v>224</v>
      </c>
      <c r="K126" s="153">
        <v>0.02</v>
      </c>
      <c r="L126" s="60">
        <f t="shared" ref="L126:L127" si="123">K126*I126</f>
        <v>140.61600000000001</v>
      </c>
      <c r="M126" s="58">
        <f>IF(VLOOKUP(E126,'HOURLY RATES'!C$6:D$105,2,0)=0,$E$3,VLOOKUP(E126,'HOURLY RATES'!C$6:D$105,2,0))</f>
        <v>54</v>
      </c>
      <c r="N126" s="58">
        <f t="shared" ref="N126:N127" si="124">M126*L126</f>
        <v>7593.264000000001</v>
      </c>
      <c r="O126" s="61">
        <v>0.4</v>
      </c>
      <c r="P126" s="61">
        <f t="shared" si="120"/>
        <v>2812.32</v>
      </c>
      <c r="Q126" s="62">
        <f t="shared" si="121"/>
        <v>10405.584000000001</v>
      </c>
      <c r="R126" s="155"/>
      <c r="S126" s="131">
        <f>((((N126*(1+$D$7))+(P126*(1+$D$5+$D$6)))*(1+$D$8)))/I126</f>
        <v>1.8309463199999996</v>
      </c>
      <c r="T126" s="130">
        <f t="shared" si="122"/>
        <v>12873.017386655998</v>
      </c>
    </row>
    <row r="127" spans="1:20" s="7" customFormat="1" ht="31.2" x14ac:dyDescent="0.25">
      <c r="A127" s="152">
        <f>IF(J127&lt;&gt;"",1+MAX($A$18:A126),"")</f>
        <v>59</v>
      </c>
      <c r="B127" s="50"/>
      <c r="C127" s="50"/>
      <c r="D127" s="100" t="s">
        <v>35</v>
      </c>
      <c r="E127" s="178" t="s">
        <v>104</v>
      </c>
      <c r="F127" s="175" t="s">
        <v>759</v>
      </c>
      <c r="G127" s="51">
        <f>240*3</f>
        <v>720</v>
      </c>
      <c r="H127" s="52">
        <f>IF(VLOOKUP(J127,'HOURLY RATES'!B$116:C$124,2,0)=0,$J$3,VLOOKUP(J127,'HOURLY RATES'!B$116:C$124,2,0))</f>
        <v>0.05</v>
      </c>
      <c r="I127" s="53">
        <f t="shared" si="117"/>
        <v>756</v>
      </c>
      <c r="J127" s="99" t="s">
        <v>224</v>
      </c>
      <c r="K127" s="153">
        <v>0.02</v>
      </c>
      <c r="L127" s="60">
        <f t="shared" si="123"/>
        <v>15.120000000000001</v>
      </c>
      <c r="M127" s="58">
        <f>IF(VLOOKUP(E127,'HOURLY RATES'!C$6:D$105,2,0)=0,$E$3,VLOOKUP(E127,'HOURLY RATES'!C$6:D$105,2,0))</f>
        <v>54</v>
      </c>
      <c r="N127" s="58">
        <f t="shared" si="124"/>
        <v>816.48</v>
      </c>
      <c r="O127" s="61">
        <v>0.4</v>
      </c>
      <c r="P127" s="61">
        <f t="shared" si="120"/>
        <v>302.40000000000003</v>
      </c>
      <c r="Q127" s="62">
        <f t="shared" si="121"/>
        <v>1118.8800000000001</v>
      </c>
      <c r="R127" s="155"/>
      <c r="S127" s="131">
        <f>((((N127*(1+$D$7))+(P127*(1+$D$5+$D$6)))*(1+$D$8)))/I127</f>
        <v>1.83094632</v>
      </c>
      <c r="T127" s="130">
        <f t="shared" si="122"/>
        <v>1384.19541792</v>
      </c>
    </row>
    <row r="128" spans="1:20" s="7" customFormat="1" x14ac:dyDescent="0.25">
      <c r="A128" s="152"/>
      <c r="B128" s="50"/>
      <c r="C128" s="63"/>
      <c r="D128" s="100"/>
      <c r="E128" s="178"/>
      <c r="F128" s="103"/>
      <c r="G128" s="51"/>
      <c r="H128" s="52"/>
      <c r="I128" s="53"/>
      <c r="J128" s="99"/>
      <c r="K128" s="153"/>
      <c r="L128" s="60"/>
      <c r="M128" s="58"/>
      <c r="N128" s="58"/>
      <c r="O128" s="61"/>
      <c r="P128" s="61"/>
      <c r="Q128" s="62"/>
      <c r="R128" s="155"/>
      <c r="S128" s="131"/>
      <c r="T128" s="130"/>
    </row>
    <row r="129" spans="1:20" s="7" customFormat="1" x14ac:dyDescent="0.25">
      <c r="A129" s="152" t="str">
        <f>IF(J129&lt;&gt;"",1+MAX($A$18:A126),"")</f>
        <v/>
      </c>
      <c r="B129" s="50"/>
      <c r="C129" s="63"/>
      <c r="D129" s="100"/>
      <c r="E129" s="178"/>
      <c r="F129" s="172" t="s">
        <v>723</v>
      </c>
      <c r="G129" s="51"/>
      <c r="H129" s="52"/>
      <c r="I129" s="53"/>
      <c r="J129" s="99"/>
      <c r="K129" s="153"/>
      <c r="L129" s="60"/>
      <c r="M129" s="58"/>
      <c r="N129" s="58"/>
      <c r="O129" s="61"/>
      <c r="P129" s="61"/>
      <c r="Q129" s="62"/>
      <c r="R129" s="155"/>
      <c r="S129" s="131"/>
      <c r="T129" s="130"/>
    </row>
    <row r="130" spans="1:20" s="7" customFormat="1" ht="31.2" x14ac:dyDescent="0.25">
      <c r="A130" s="152">
        <f>IF(J130&lt;&gt;"",1+MAX($A$18:A129),"")</f>
        <v>60</v>
      </c>
      <c r="B130" s="50"/>
      <c r="C130" s="50"/>
      <c r="D130" s="100" t="s">
        <v>35</v>
      </c>
      <c r="E130" s="178" t="s">
        <v>104</v>
      </c>
      <c r="F130" s="175" t="s">
        <v>804</v>
      </c>
      <c r="G130" s="51">
        <f>10*3</f>
        <v>30</v>
      </c>
      <c r="H130" s="52">
        <f>IF(VLOOKUP(J130,'HOURLY RATES'!B$116:C$124,2,0)=0,$J$3,VLOOKUP(J130,'HOURLY RATES'!B$116:C$124,2,0))</f>
        <v>0</v>
      </c>
      <c r="I130" s="53">
        <f t="shared" ref="I130:I132" si="125">(G130*(1+H130))</f>
        <v>30</v>
      </c>
      <c r="J130" s="99" t="s">
        <v>225</v>
      </c>
      <c r="K130" s="153">
        <v>1.23</v>
      </c>
      <c r="L130" s="60">
        <f t="shared" ref="L130:L132" si="126">K130*I130</f>
        <v>36.9</v>
      </c>
      <c r="M130" s="58">
        <f>IF(VLOOKUP(E130,'HOURLY RATES'!C$6:D$105,2,0)=0,$E$3,VLOOKUP(E130,'HOURLY RATES'!C$6:D$105,2,0))</f>
        <v>54</v>
      </c>
      <c r="N130" s="58">
        <f t="shared" ref="N130:N132" si="127">M130*L130</f>
        <v>1992.6</v>
      </c>
      <c r="O130" s="61">
        <v>28</v>
      </c>
      <c r="P130" s="61">
        <f t="shared" ref="P130:P132" si="128">O130*I130</f>
        <v>840</v>
      </c>
      <c r="Q130" s="62">
        <f t="shared" ref="Q130:Q132" si="129">P130+N130</f>
        <v>2832.6</v>
      </c>
      <c r="R130" s="155"/>
      <c r="S130" s="131">
        <f>((((N130*(1+$D$7))+(P130*(1+$D$5+$D$6)))*(1+$D$8)))/I130</f>
        <v>116.98500239999998</v>
      </c>
      <c r="T130" s="130">
        <f t="shared" ref="T130:T132" si="130">S130*I130</f>
        <v>3509.5500719999995</v>
      </c>
    </row>
    <row r="131" spans="1:20" s="7" customFormat="1" ht="31.2" x14ac:dyDescent="0.25">
      <c r="A131" s="152">
        <f>IF(J131&lt;&gt;"",1+MAX($A$18:A130),"")</f>
        <v>61</v>
      </c>
      <c r="B131" s="50"/>
      <c r="C131" s="50"/>
      <c r="D131" s="100" t="s">
        <v>35</v>
      </c>
      <c r="E131" s="178" t="s">
        <v>104</v>
      </c>
      <c r="F131" s="175" t="s">
        <v>805</v>
      </c>
      <c r="G131" s="51">
        <f>169*3</f>
        <v>507</v>
      </c>
      <c r="H131" s="52">
        <f>IF(VLOOKUP(J131,'HOURLY RATES'!B$116:C$124,2,0)=0,$J$3,VLOOKUP(J131,'HOURLY RATES'!B$116:C$124,2,0))</f>
        <v>0.05</v>
      </c>
      <c r="I131" s="53">
        <f t="shared" si="125"/>
        <v>532.35</v>
      </c>
      <c r="J131" s="99" t="s">
        <v>226</v>
      </c>
      <c r="K131" s="153">
        <v>1.7999999999999999E-2</v>
      </c>
      <c r="L131" s="60">
        <f t="shared" si="126"/>
        <v>9.5823</v>
      </c>
      <c r="M131" s="58">
        <f>IF(VLOOKUP(E131,'HOURLY RATES'!C$6:D$105,2,0)=0,$E$3,VLOOKUP(E131,'HOURLY RATES'!C$6:D$105,2,0))</f>
        <v>54</v>
      </c>
      <c r="N131" s="58">
        <f t="shared" si="127"/>
        <v>517.44420000000002</v>
      </c>
      <c r="O131" s="61">
        <v>0.8</v>
      </c>
      <c r="P131" s="61">
        <f t="shared" si="128"/>
        <v>425.88000000000005</v>
      </c>
      <c r="Q131" s="62">
        <f t="shared" si="129"/>
        <v>943.32420000000002</v>
      </c>
      <c r="R131" s="155"/>
      <c r="S131" s="131">
        <f>((((N131*(1+$D$7))+(P131*(1+$D$5+$D$6)))*(1+$D$8)))/I131</f>
        <v>2.21490864</v>
      </c>
      <c r="T131" s="130">
        <f t="shared" si="130"/>
        <v>1179.1066145039999</v>
      </c>
    </row>
    <row r="132" spans="1:20" s="7" customFormat="1" ht="31.2" x14ac:dyDescent="0.25">
      <c r="A132" s="152">
        <f>IF(J132&lt;&gt;"",1+MAX($A$18:A131),"")</f>
        <v>62</v>
      </c>
      <c r="B132" s="50"/>
      <c r="C132" s="50"/>
      <c r="D132" s="100" t="s">
        <v>35</v>
      </c>
      <c r="E132" s="178" t="s">
        <v>104</v>
      </c>
      <c r="F132" s="175" t="s">
        <v>806</v>
      </c>
      <c r="G132" s="51">
        <f>338*3</f>
        <v>1014</v>
      </c>
      <c r="H132" s="52">
        <f>IF(VLOOKUP(J132,'HOURLY RATES'!B$116:C$124,2,0)=0,$J$3,VLOOKUP(J132,'HOURLY RATES'!B$116:C$124,2,0))</f>
        <v>0.05</v>
      </c>
      <c r="I132" s="53">
        <f t="shared" si="125"/>
        <v>1064.7</v>
      </c>
      <c r="J132" s="99" t="s">
        <v>226</v>
      </c>
      <c r="K132" s="153">
        <v>1.7999999999999999E-2</v>
      </c>
      <c r="L132" s="60">
        <f t="shared" si="126"/>
        <v>19.1646</v>
      </c>
      <c r="M132" s="58">
        <f>IF(VLOOKUP(E132,'HOURLY RATES'!C$6:D$105,2,0)=0,$E$3,VLOOKUP(E132,'HOURLY RATES'!C$6:D$105,2,0))</f>
        <v>54</v>
      </c>
      <c r="N132" s="58">
        <f t="shared" si="127"/>
        <v>1034.8884</v>
      </c>
      <c r="O132" s="61">
        <v>0.8</v>
      </c>
      <c r="P132" s="61">
        <f t="shared" si="128"/>
        <v>851.7600000000001</v>
      </c>
      <c r="Q132" s="62">
        <f t="shared" si="129"/>
        <v>1886.6484</v>
      </c>
      <c r="R132" s="155"/>
      <c r="S132" s="131">
        <f>((((N132*(1+$D$7))+(P132*(1+$D$5+$D$6)))*(1+$D$8)))/I132</f>
        <v>2.21490864</v>
      </c>
      <c r="T132" s="130">
        <f t="shared" si="130"/>
        <v>2358.2132290079999</v>
      </c>
    </row>
    <row r="133" spans="1:20" s="7" customFormat="1" x14ac:dyDescent="0.25">
      <c r="A133" s="152"/>
      <c r="B133" s="50"/>
      <c r="C133" s="63"/>
      <c r="D133" s="100"/>
      <c r="E133" s="178"/>
      <c r="F133" s="103"/>
      <c r="G133" s="51"/>
      <c r="H133" s="52"/>
      <c r="I133" s="53"/>
      <c r="J133" s="99"/>
      <c r="K133" s="153"/>
      <c r="L133" s="60"/>
      <c r="M133" s="58"/>
      <c r="N133" s="58"/>
      <c r="O133" s="61"/>
      <c r="P133" s="61"/>
      <c r="Q133" s="62"/>
      <c r="R133" s="155"/>
      <c r="S133" s="131"/>
      <c r="T133" s="130"/>
    </row>
    <row r="134" spans="1:20" s="7" customFormat="1" x14ac:dyDescent="0.25">
      <c r="A134" s="152">
        <f>IF(J134&lt;&gt;"",1+MAX($A$18:A132),"")</f>
        <v>63</v>
      </c>
      <c r="B134" s="50"/>
      <c r="C134" s="63"/>
      <c r="D134" s="100"/>
      <c r="E134" s="178"/>
      <c r="F134" s="177" t="s">
        <v>752</v>
      </c>
      <c r="G134" s="108">
        <v>2</v>
      </c>
      <c r="H134" s="52"/>
      <c r="I134" s="53"/>
      <c r="J134" s="99" t="s">
        <v>225</v>
      </c>
      <c r="K134" s="153"/>
      <c r="L134" s="60"/>
      <c r="M134" s="58"/>
      <c r="N134" s="58"/>
      <c r="O134" s="61"/>
      <c r="P134" s="61"/>
      <c r="Q134" s="62"/>
      <c r="R134" s="155"/>
      <c r="S134" s="131"/>
      <c r="T134" s="130"/>
    </row>
    <row r="135" spans="1:20" s="7" customFormat="1" x14ac:dyDescent="0.25">
      <c r="A135" s="152" t="str">
        <f>IF(J135&lt;&gt;"",1+MAX($A$18:A134),"")</f>
        <v/>
      </c>
      <c r="B135" s="50"/>
      <c r="C135" s="63"/>
      <c r="D135" s="100"/>
      <c r="E135" s="178"/>
      <c r="F135" s="172" t="s">
        <v>722</v>
      </c>
      <c r="G135" s="51"/>
      <c r="H135" s="52"/>
      <c r="I135" s="53"/>
      <c r="J135" s="99"/>
      <c r="K135" s="153"/>
      <c r="L135" s="60"/>
      <c r="M135" s="58"/>
      <c r="N135" s="58"/>
      <c r="O135" s="61"/>
      <c r="P135" s="61"/>
      <c r="Q135" s="62"/>
      <c r="R135" s="155"/>
      <c r="S135" s="131"/>
      <c r="T135" s="130"/>
    </row>
    <row r="136" spans="1:20" s="7" customFormat="1" ht="31.2" x14ac:dyDescent="0.25">
      <c r="A136" s="152">
        <f>IF(J136&lt;&gt;"",1+MAX($A$18:A135),"")</f>
        <v>64</v>
      </c>
      <c r="B136" s="50"/>
      <c r="C136" s="50"/>
      <c r="D136" s="100" t="s">
        <v>35</v>
      </c>
      <c r="E136" s="178" t="s">
        <v>104</v>
      </c>
      <c r="F136" s="175" t="s">
        <v>758</v>
      </c>
      <c r="G136" s="51">
        <f>819*2</f>
        <v>1638</v>
      </c>
      <c r="H136" s="52">
        <f>IF(VLOOKUP(J136,'HOURLY RATES'!B$116:C$124,2,0)=0,$J$3,VLOOKUP(J136,'HOURLY RATES'!B$116:C$124,2,0))</f>
        <v>0.05</v>
      </c>
      <c r="I136" s="53">
        <f t="shared" ref="I136" si="131">(G136*(1+H136))</f>
        <v>1719.9</v>
      </c>
      <c r="J136" s="99" t="s">
        <v>224</v>
      </c>
      <c r="K136" s="153">
        <v>2.1999999999999999E-2</v>
      </c>
      <c r="L136" s="60">
        <f t="shared" ref="L136" si="132">K136*I136</f>
        <v>37.837800000000001</v>
      </c>
      <c r="M136" s="58">
        <f>IF(VLOOKUP(E136,'HOURLY RATES'!C$6:D$105,2,0)=0,$E$3,VLOOKUP(E136,'HOURLY RATES'!C$6:D$105,2,0))</f>
        <v>54</v>
      </c>
      <c r="N136" s="58">
        <f t="shared" ref="N136" si="133">M136*L136</f>
        <v>2043.2412000000002</v>
      </c>
      <c r="O136" s="61">
        <v>0.4</v>
      </c>
      <c r="P136" s="61">
        <f t="shared" ref="P136" si="134">O136*I136</f>
        <v>687.96</v>
      </c>
      <c r="Q136" s="62">
        <f t="shared" ref="Q136" si="135">P136+N136</f>
        <v>2731.2012000000004</v>
      </c>
      <c r="R136" s="155"/>
      <c r="S136" s="131">
        <f>((((N136*(1+$D$7))+(P136*(1+$D$5+$D$6)))*(1+$D$8)))/I136</f>
        <v>1.9624903199999995</v>
      </c>
      <c r="T136" s="130">
        <f t="shared" ref="T136" si="136">S136*I136</f>
        <v>3375.2871013679992</v>
      </c>
    </row>
    <row r="137" spans="1:20" s="7" customFormat="1" x14ac:dyDescent="0.25">
      <c r="A137" s="152"/>
      <c r="B137" s="50"/>
      <c r="C137" s="63"/>
      <c r="D137" s="100"/>
      <c r="E137" s="178"/>
      <c r="F137" s="103"/>
      <c r="G137" s="51"/>
      <c r="H137" s="52"/>
      <c r="I137" s="53"/>
      <c r="J137" s="99"/>
      <c r="K137" s="153"/>
      <c r="L137" s="60"/>
      <c r="M137" s="58"/>
      <c r="N137" s="58"/>
      <c r="O137" s="61"/>
      <c r="P137" s="61"/>
      <c r="Q137" s="62"/>
      <c r="R137" s="155"/>
      <c r="S137" s="131"/>
      <c r="T137" s="130"/>
    </row>
    <row r="138" spans="1:20" s="7" customFormat="1" x14ac:dyDescent="0.25">
      <c r="A138" s="152" t="str">
        <f>IF(J138&lt;&gt;"",1+MAX($A$18:A136),"")</f>
        <v/>
      </c>
      <c r="B138" s="50"/>
      <c r="C138" s="63"/>
      <c r="D138" s="100"/>
      <c r="E138" s="178"/>
      <c r="F138" s="172" t="s">
        <v>719</v>
      </c>
      <c r="G138" s="51"/>
      <c r="H138" s="52"/>
      <c r="I138" s="53"/>
      <c r="J138" s="99"/>
      <c r="K138" s="153"/>
      <c r="L138" s="60"/>
      <c r="M138" s="58"/>
      <c r="N138" s="58"/>
      <c r="O138" s="61"/>
      <c r="P138" s="61"/>
      <c r="Q138" s="62"/>
      <c r="R138" s="155"/>
      <c r="S138" s="131"/>
      <c r="T138" s="130"/>
    </row>
    <row r="139" spans="1:20" s="7" customFormat="1" ht="31.2" x14ac:dyDescent="0.25">
      <c r="A139" s="152">
        <f>IF(J139&lt;&gt;"",1+MAX($A$18:A138),"")</f>
        <v>65</v>
      </c>
      <c r="B139" s="50"/>
      <c r="C139" s="50"/>
      <c r="D139" s="100" t="s">
        <v>35</v>
      </c>
      <c r="E139" s="178" t="s">
        <v>104</v>
      </c>
      <c r="F139" s="175" t="s">
        <v>760</v>
      </c>
      <c r="G139" s="51">
        <f>220*2</f>
        <v>440</v>
      </c>
      <c r="H139" s="52">
        <f>IF(VLOOKUP(J139,'HOURLY RATES'!B$116:C$124,2,0)=0,$J$3,VLOOKUP(J139,'HOURLY RATES'!B$116:C$124,2,0))</f>
        <v>0.05</v>
      </c>
      <c r="I139" s="53">
        <f t="shared" ref="I139:I143" si="137">(G139*(1+H139))</f>
        <v>462</v>
      </c>
      <c r="J139" s="99" t="s">
        <v>226</v>
      </c>
      <c r="K139" s="153">
        <v>1.7999999999999999E-2</v>
      </c>
      <c r="L139" s="60">
        <f t="shared" ref="L139" si="138">K139*I139</f>
        <v>8.3159999999999989</v>
      </c>
      <c r="M139" s="58">
        <f>IF(VLOOKUP(E139,'HOURLY RATES'!C$6:D$105,2,0)=0,$E$3,VLOOKUP(E139,'HOURLY RATES'!C$6:D$105,2,0))</f>
        <v>54</v>
      </c>
      <c r="N139" s="58">
        <f t="shared" ref="N139" si="139">M139*L139</f>
        <v>449.06399999999996</v>
      </c>
      <c r="O139" s="61">
        <v>0.8</v>
      </c>
      <c r="P139" s="61">
        <f t="shared" ref="P139:P143" si="140">O139*I139</f>
        <v>369.6</v>
      </c>
      <c r="Q139" s="62">
        <f t="shared" ref="Q139:Q143" si="141">P139+N139</f>
        <v>818.66399999999999</v>
      </c>
      <c r="R139" s="155"/>
      <c r="S139" s="131">
        <f>((((N139*(1+$D$7))+(P139*(1+$D$5+$D$6)))*(1+$D$8)))/I139</f>
        <v>2.2149086399999995</v>
      </c>
      <c r="T139" s="130">
        <f t="shared" ref="T139:T143" si="142">S139*I139</f>
        <v>1023.2877916799998</v>
      </c>
    </row>
    <row r="140" spans="1:20" s="7" customFormat="1" x14ac:dyDescent="0.25">
      <c r="A140" s="152"/>
      <c r="B140" s="50"/>
      <c r="C140" s="63"/>
      <c r="D140" s="100"/>
      <c r="E140" s="178"/>
      <c r="F140" s="103"/>
      <c r="G140" s="51"/>
      <c r="H140" s="52"/>
      <c r="I140" s="53"/>
      <c r="J140" s="99"/>
      <c r="K140" s="153"/>
      <c r="L140" s="60"/>
      <c r="M140" s="58"/>
      <c r="N140" s="58"/>
      <c r="O140" s="61"/>
      <c r="P140" s="61"/>
      <c r="Q140" s="62"/>
      <c r="R140" s="155"/>
      <c r="S140" s="131"/>
      <c r="T140" s="130"/>
    </row>
    <row r="141" spans="1:20" s="7" customFormat="1" x14ac:dyDescent="0.25">
      <c r="A141" s="152" t="str">
        <f>IF(J141&lt;&gt;"",1+MAX($A$18:A139),"")</f>
        <v/>
      </c>
      <c r="B141" s="50"/>
      <c r="C141" s="63"/>
      <c r="D141" s="100"/>
      <c r="E141" s="178"/>
      <c r="F141" s="172" t="s">
        <v>223</v>
      </c>
      <c r="G141" s="51"/>
      <c r="H141" s="52"/>
      <c r="I141" s="53"/>
      <c r="J141" s="99"/>
      <c r="K141" s="153"/>
      <c r="L141" s="60"/>
      <c r="M141" s="58"/>
      <c r="N141" s="58"/>
      <c r="O141" s="61"/>
      <c r="P141" s="61"/>
      <c r="Q141" s="62"/>
      <c r="R141" s="155"/>
      <c r="S141" s="131"/>
      <c r="T141" s="130"/>
    </row>
    <row r="142" spans="1:20" s="7" customFormat="1" ht="31.2" x14ac:dyDescent="0.25">
      <c r="A142" s="152">
        <f>IF(J142&lt;&gt;"",1+MAX($A$18:A141),"")</f>
        <v>66</v>
      </c>
      <c r="B142" s="50"/>
      <c r="C142" s="50"/>
      <c r="D142" s="100" t="s">
        <v>35</v>
      </c>
      <c r="E142" s="178" t="s">
        <v>104</v>
      </c>
      <c r="F142" s="175" t="s">
        <v>757</v>
      </c>
      <c r="G142" s="51">
        <f>1626*2</f>
        <v>3252</v>
      </c>
      <c r="H142" s="52">
        <f>IF(VLOOKUP(J142,'HOURLY RATES'!B$116:C$124,2,0)=0,$J$3,VLOOKUP(J142,'HOURLY RATES'!B$116:C$124,2,0))</f>
        <v>0.05</v>
      </c>
      <c r="I142" s="53">
        <f t="shared" si="137"/>
        <v>3414.6000000000004</v>
      </c>
      <c r="J142" s="99" t="s">
        <v>224</v>
      </c>
      <c r="K142" s="153">
        <v>0.02</v>
      </c>
      <c r="L142" s="60">
        <f t="shared" ref="L142:L143" si="143">K142*I142</f>
        <v>68.292000000000002</v>
      </c>
      <c r="M142" s="58">
        <f>IF(VLOOKUP(E142,'HOURLY RATES'!C$6:D$105,2,0)=0,$E$3,VLOOKUP(E142,'HOURLY RATES'!C$6:D$105,2,0))</f>
        <v>54</v>
      </c>
      <c r="N142" s="58">
        <f t="shared" ref="N142:N143" si="144">M142*L142</f>
        <v>3687.768</v>
      </c>
      <c r="O142" s="61">
        <v>0.4</v>
      </c>
      <c r="P142" s="61">
        <f t="shared" si="140"/>
        <v>1365.8400000000001</v>
      </c>
      <c r="Q142" s="62">
        <f t="shared" si="141"/>
        <v>5053.6080000000002</v>
      </c>
      <c r="R142" s="155"/>
      <c r="S142" s="131">
        <f>((((N142*(1+$D$7))+(P142*(1+$D$5+$D$6)))*(1+$D$8)))/I142</f>
        <v>1.8309463199999998</v>
      </c>
      <c r="T142" s="130">
        <f t="shared" si="142"/>
        <v>6251.9493042719996</v>
      </c>
    </row>
    <row r="143" spans="1:20" s="7" customFormat="1" ht="31.2" x14ac:dyDescent="0.25">
      <c r="A143" s="152">
        <f>IF(J143&lt;&gt;"",1+MAX($A$18:A142),"")</f>
        <v>67</v>
      </c>
      <c r="B143" s="50"/>
      <c r="C143" s="50"/>
      <c r="D143" s="100" t="s">
        <v>35</v>
      </c>
      <c r="E143" s="178" t="s">
        <v>104</v>
      </c>
      <c r="F143" s="175" t="s">
        <v>759</v>
      </c>
      <c r="G143" s="51">
        <f>238*2</f>
        <v>476</v>
      </c>
      <c r="H143" s="52">
        <f>IF(VLOOKUP(J143,'HOURLY RATES'!B$116:C$124,2,0)=0,$J$3,VLOOKUP(J143,'HOURLY RATES'!B$116:C$124,2,0))</f>
        <v>0.05</v>
      </c>
      <c r="I143" s="53">
        <f t="shared" si="137"/>
        <v>499.8</v>
      </c>
      <c r="J143" s="99" t="s">
        <v>224</v>
      </c>
      <c r="K143" s="153">
        <v>0.02</v>
      </c>
      <c r="L143" s="60">
        <f t="shared" si="143"/>
        <v>9.9960000000000004</v>
      </c>
      <c r="M143" s="58">
        <f>IF(VLOOKUP(E143,'HOURLY RATES'!C$6:D$105,2,0)=0,$E$3,VLOOKUP(E143,'HOURLY RATES'!C$6:D$105,2,0))</f>
        <v>54</v>
      </c>
      <c r="N143" s="58">
        <f t="shared" si="144"/>
        <v>539.78399999999999</v>
      </c>
      <c r="O143" s="61">
        <v>0.4</v>
      </c>
      <c r="P143" s="61">
        <f t="shared" si="140"/>
        <v>199.92000000000002</v>
      </c>
      <c r="Q143" s="62">
        <f t="shared" si="141"/>
        <v>739.70399999999995</v>
      </c>
      <c r="R143" s="155"/>
      <c r="S143" s="131">
        <f>((((N143*(1+$D$7))+(P143*(1+$D$5+$D$6)))*(1+$D$8)))/I143</f>
        <v>1.8309463199999998</v>
      </c>
      <c r="T143" s="130">
        <f t="shared" si="142"/>
        <v>915.10697073599988</v>
      </c>
    </row>
    <row r="144" spans="1:20" s="7" customFormat="1" x14ac:dyDescent="0.25">
      <c r="A144" s="152"/>
      <c r="B144" s="50"/>
      <c r="C144" s="63"/>
      <c r="D144" s="100"/>
      <c r="E144" s="178"/>
      <c r="F144" s="103"/>
      <c r="G144" s="51"/>
      <c r="H144" s="52"/>
      <c r="I144" s="53"/>
      <c r="J144" s="99"/>
      <c r="K144" s="153"/>
      <c r="L144" s="60"/>
      <c r="M144" s="58"/>
      <c r="N144" s="58"/>
      <c r="O144" s="61"/>
      <c r="P144" s="61"/>
      <c r="Q144" s="62"/>
      <c r="R144" s="155"/>
      <c r="S144" s="131"/>
      <c r="T144" s="130"/>
    </row>
    <row r="145" spans="1:20" s="7" customFormat="1" x14ac:dyDescent="0.25">
      <c r="A145" s="152" t="str">
        <f>IF(J145&lt;&gt;"",1+MAX($A$18:A142),"")</f>
        <v/>
      </c>
      <c r="B145" s="50"/>
      <c r="C145" s="63"/>
      <c r="D145" s="100"/>
      <c r="E145" s="178"/>
      <c r="F145" s="172" t="s">
        <v>723</v>
      </c>
      <c r="G145" s="51"/>
      <c r="H145" s="52"/>
      <c r="I145" s="53"/>
      <c r="J145" s="99"/>
      <c r="K145" s="153"/>
      <c r="L145" s="60"/>
      <c r="M145" s="58"/>
      <c r="N145" s="58"/>
      <c r="O145" s="61"/>
      <c r="P145" s="61"/>
      <c r="Q145" s="62"/>
      <c r="R145" s="155"/>
      <c r="S145" s="131"/>
      <c r="T145" s="130"/>
    </row>
    <row r="146" spans="1:20" s="7" customFormat="1" ht="31.2" x14ac:dyDescent="0.25">
      <c r="A146" s="152">
        <f>IF(J146&lt;&gt;"",1+MAX($A$18:A145),"")</f>
        <v>68</v>
      </c>
      <c r="B146" s="50"/>
      <c r="C146" s="50"/>
      <c r="D146" s="100" t="s">
        <v>35</v>
      </c>
      <c r="E146" s="178" t="s">
        <v>104</v>
      </c>
      <c r="F146" s="175" t="s">
        <v>804</v>
      </c>
      <c r="G146" s="51">
        <f>9*2</f>
        <v>18</v>
      </c>
      <c r="H146" s="52">
        <f>IF(VLOOKUP(J146,'HOURLY RATES'!B$116:C$124,2,0)=0,$J$3,VLOOKUP(J146,'HOURLY RATES'!B$116:C$124,2,0))</f>
        <v>0</v>
      </c>
      <c r="I146" s="53">
        <f t="shared" ref="I146:I148" si="145">(G146*(1+H146))</f>
        <v>18</v>
      </c>
      <c r="J146" s="99" t="s">
        <v>225</v>
      </c>
      <c r="K146" s="153">
        <v>1.23</v>
      </c>
      <c r="L146" s="60">
        <f t="shared" ref="L146:L148" si="146">K146*I146</f>
        <v>22.14</v>
      </c>
      <c r="M146" s="58">
        <f>IF(VLOOKUP(E146,'HOURLY RATES'!C$6:D$105,2,0)=0,$E$3,VLOOKUP(E146,'HOURLY RATES'!C$6:D$105,2,0))</f>
        <v>54</v>
      </c>
      <c r="N146" s="58">
        <f t="shared" ref="N146:N148" si="147">M146*L146</f>
        <v>1195.56</v>
      </c>
      <c r="O146" s="61">
        <v>28</v>
      </c>
      <c r="P146" s="61">
        <f t="shared" ref="P146:P148" si="148">O146*I146</f>
        <v>504</v>
      </c>
      <c r="Q146" s="62">
        <f t="shared" ref="Q146:Q148" si="149">P146+N146</f>
        <v>1699.56</v>
      </c>
      <c r="R146" s="155"/>
      <c r="S146" s="131">
        <f>((((N146*(1+$D$7))+(P146*(1+$D$5+$D$6)))*(1+$D$8)))/I146</f>
        <v>116.98500239999998</v>
      </c>
      <c r="T146" s="130">
        <f t="shared" ref="T146:T148" si="150">S146*I146</f>
        <v>2105.7300431999997</v>
      </c>
    </row>
    <row r="147" spans="1:20" s="7" customFormat="1" ht="31.2" x14ac:dyDescent="0.25">
      <c r="A147" s="152">
        <f>IF(J147&lt;&gt;"",1+MAX($A$18:A146),"")</f>
        <v>69</v>
      </c>
      <c r="B147" s="50"/>
      <c r="C147" s="50"/>
      <c r="D147" s="100" t="s">
        <v>35</v>
      </c>
      <c r="E147" s="178" t="s">
        <v>104</v>
      </c>
      <c r="F147" s="175" t="s">
        <v>805</v>
      </c>
      <c r="G147" s="51">
        <f>153*2</f>
        <v>306</v>
      </c>
      <c r="H147" s="52">
        <f>IF(VLOOKUP(J147,'HOURLY RATES'!B$116:C$124,2,0)=0,$J$3,VLOOKUP(J147,'HOURLY RATES'!B$116:C$124,2,0))</f>
        <v>0.05</v>
      </c>
      <c r="I147" s="53">
        <f t="shared" si="145"/>
        <v>321.3</v>
      </c>
      <c r="J147" s="99" t="s">
        <v>226</v>
      </c>
      <c r="K147" s="153">
        <v>1.7999999999999999E-2</v>
      </c>
      <c r="L147" s="60">
        <f t="shared" si="146"/>
        <v>5.7833999999999994</v>
      </c>
      <c r="M147" s="58">
        <f>IF(VLOOKUP(E147,'HOURLY RATES'!C$6:D$105,2,0)=0,$E$3,VLOOKUP(E147,'HOURLY RATES'!C$6:D$105,2,0))</f>
        <v>54</v>
      </c>
      <c r="N147" s="58">
        <f t="shared" si="147"/>
        <v>312.30359999999996</v>
      </c>
      <c r="O147" s="61">
        <v>0.8</v>
      </c>
      <c r="P147" s="61">
        <f t="shared" si="148"/>
        <v>257.04000000000002</v>
      </c>
      <c r="Q147" s="62">
        <f t="shared" si="149"/>
        <v>569.34359999999992</v>
      </c>
      <c r="R147" s="155"/>
      <c r="S147" s="131">
        <f>((((N147*(1+$D$7))+(P147*(1+$D$5+$D$6)))*(1+$D$8)))/I147</f>
        <v>2.2149086399999995</v>
      </c>
      <c r="T147" s="130">
        <f t="shared" si="150"/>
        <v>711.65014603199984</v>
      </c>
    </row>
    <row r="148" spans="1:20" s="7" customFormat="1" ht="31.2" x14ac:dyDescent="0.25">
      <c r="A148" s="152">
        <f>IF(J148&lt;&gt;"",1+MAX($A$18:A147),"")</f>
        <v>70</v>
      </c>
      <c r="B148" s="50"/>
      <c r="C148" s="50"/>
      <c r="D148" s="100" t="s">
        <v>35</v>
      </c>
      <c r="E148" s="178" t="s">
        <v>104</v>
      </c>
      <c r="F148" s="175" t="s">
        <v>806</v>
      </c>
      <c r="G148" s="51">
        <f>306*2</f>
        <v>612</v>
      </c>
      <c r="H148" s="52">
        <f>IF(VLOOKUP(J148,'HOURLY RATES'!B$116:C$124,2,0)=0,$J$3,VLOOKUP(J148,'HOURLY RATES'!B$116:C$124,2,0))</f>
        <v>0.05</v>
      </c>
      <c r="I148" s="53">
        <f t="shared" si="145"/>
        <v>642.6</v>
      </c>
      <c r="J148" s="99" t="s">
        <v>226</v>
      </c>
      <c r="K148" s="153">
        <v>1.7999999999999999E-2</v>
      </c>
      <c r="L148" s="60">
        <f t="shared" si="146"/>
        <v>11.566799999999999</v>
      </c>
      <c r="M148" s="58">
        <f>IF(VLOOKUP(E148,'HOURLY RATES'!C$6:D$105,2,0)=0,$E$3,VLOOKUP(E148,'HOURLY RATES'!C$6:D$105,2,0))</f>
        <v>54</v>
      </c>
      <c r="N148" s="58">
        <f t="shared" si="147"/>
        <v>624.60719999999992</v>
      </c>
      <c r="O148" s="61">
        <v>0.8</v>
      </c>
      <c r="P148" s="61">
        <f t="shared" si="148"/>
        <v>514.08000000000004</v>
      </c>
      <c r="Q148" s="62">
        <f t="shared" si="149"/>
        <v>1138.6871999999998</v>
      </c>
      <c r="R148" s="155"/>
      <c r="S148" s="131">
        <f>((((N148*(1+$D$7))+(P148*(1+$D$5+$D$6)))*(1+$D$8)))/I148</f>
        <v>2.2149086399999995</v>
      </c>
      <c r="T148" s="130">
        <f t="shared" si="150"/>
        <v>1423.3002920639997</v>
      </c>
    </row>
    <row r="149" spans="1:20" s="7" customFormat="1" x14ac:dyDescent="0.25">
      <c r="A149" s="152"/>
      <c r="B149" s="50"/>
      <c r="C149" s="63"/>
      <c r="D149" s="100"/>
      <c r="E149" s="178"/>
      <c r="F149" s="103"/>
      <c r="G149" s="51"/>
      <c r="H149" s="52"/>
      <c r="I149" s="53"/>
      <c r="J149" s="99"/>
      <c r="K149" s="153"/>
      <c r="L149" s="60"/>
      <c r="M149" s="58"/>
      <c r="N149" s="58"/>
      <c r="O149" s="61"/>
      <c r="P149" s="61"/>
      <c r="Q149" s="62"/>
      <c r="R149" s="155"/>
      <c r="S149" s="131"/>
      <c r="T149" s="130"/>
    </row>
    <row r="150" spans="1:20" s="7" customFormat="1" x14ac:dyDescent="0.25">
      <c r="A150" s="152">
        <f>IF(J150&lt;&gt;"",1+MAX($A$18:A148),"")</f>
        <v>71</v>
      </c>
      <c r="B150" s="50"/>
      <c r="C150" s="63"/>
      <c r="D150" s="100"/>
      <c r="E150" s="178"/>
      <c r="F150" s="177" t="s">
        <v>753</v>
      </c>
      <c r="G150" s="108">
        <v>10</v>
      </c>
      <c r="H150" s="52"/>
      <c r="I150" s="53"/>
      <c r="J150" s="99" t="s">
        <v>225</v>
      </c>
      <c r="K150" s="153"/>
      <c r="L150" s="60"/>
      <c r="M150" s="58"/>
      <c r="N150" s="58"/>
      <c r="O150" s="61"/>
      <c r="P150" s="61"/>
      <c r="Q150" s="62"/>
      <c r="R150" s="155"/>
      <c r="S150" s="131"/>
      <c r="T150" s="130"/>
    </row>
    <row r="151" spans="1:20" s="7" customFormat="1" x14ac:dyDescent="0.25">
      <c r="A151" s="152" t="str">
        <f>IF(J151&lt;&gt;"",1+MAX($A$18:A150),"")</f>
        <v/>
      </c>
      <c r="B151" s="50"/>
      <c r="C151" s="63"/>
      <c r="D151" s="100"/>
      <c r="E151" s="178"/>
      <c r="F151" s="172" t="s">
        <v>722</v>
      </c>
      <c r="G151" s="51"/>
      <c r="H151" s="52"/>
      <c r="I151" s="53"/>
      <c r="J151" s="99"/>
      <c r="K151" s="153"/>
      <c r="L151" s="60"/>
      <c r="M151" s="58"/>
      <c r="N151" s="58"/>
      <c r="O151" s="61"/>
      <c r="P151" s="61"/>
      <c r="Q151" s="62"/>
      <c r="R151" s="155"/>
      <c r="S151" s="131"/>
      <c r="T151" s="130"/>
    </row>
    <row r="152" spans="1:20" s="7" customFormat="1" ht="31.2" x14ac:dyDescent="0.25">
      <c r="A152" s="152">
        <f>IF(J152&lt;&gt;"",1+MAX($A$18:A151),"")</f>
        <v>72</v>
      </c>
      <c r="B152" s="50"/>
      <c r="C152" s="50"/>
      <c r="D152" s="100" t="s">
        <v>35</v>
      </c>
      <c r="E152" s="178" t="s">
        <v>104</v>
      </c>
      <c r="F152" s="175" t="s">
        <v>758</v>
      </c>
      <c r="G152" s="51">
        <f>2173*10</f>
        <v>21730</v>
      </c>
      <c r="H152" s="52">
        <f>IF(VLOOKUP(J152,'HOURLY RATES'!B$116:C$124,2,0)=0,$J$3,VLOOKUP(J152,'HOURLY RATES'!B$116:C$124,2,0))</f>
        <v>0.05</v>
      </c>
      <c r="I152" s="53">
        <f t="shared" ref="I152" si="151">(G152*(1+H152))</f>
        <v>22816.5</v>
      </c>
      <c r="J152" s="99" t="s">
        <v>224</v>
      </c>
      <c r="K152" s="153">
        <v>2.1999999999999999E-2</v>
      </c>
      <c r="L152" s="60">
        <f t="shared" ref="L152" si="152">K152*I152</f>
        <v>501.96299999999997</v>
      </c>
      <c r="M152" s="58">
        <f>IF(VLOOKUP(E152,'HOURLY RATES'!C$6:D$105,2,0)=0,$E$3,VLOOKUP(E152,'HOURLY RATES'!C$6:D$105,2,0))</f>
        <v>54</v>
      </c>
      <c r="N152" s="58">
        <f t="shared" ref="N152" si="153">M152*L152</f>
        <v>27106.001999999997</v>
      </c>
      <c r="O152" s="61">
        <v>0.4</v>
      </c>
      <c r="P152" s="61">
        <f t="shared" ref="P152" si="154">O152*I152</f>
        <v>9126.6</v>
      </c>
      <c r="Q152" s="62">
        <f t="shared" ref="Q152" si="155">P152+N152</f>
        <v>36232.601999999999</v>
      </c>
      <c r="R152" s="155"/>
      <c r="S152" s="131">
        <f>((((N152*(1+$D$7))+(P152*(1+$D$5+$D$6)))*(1+$D$8)))/I152</f>
        <v>1.9624903199999995</v>
      </c>
      <c r="T152" s="130">
        <f t="shared" ref="T152" si="156">S152*I152</f>
        <v>44777.160386279989</v>
      </c>
    </row>
    <row r="153" spans="1:20" s="7" customFormat="1" x14ac:dyDescent="0.25">
      <c r="A153" s="152"/>
      <c r="B153" s="50"/>
      <c r="C153" s="63"/>
      <c r="D153" s="100"/>
      <c r="E153" s="178"/>
      <c r="F153" s="103"/>
      <c r="G153" s="51"/>
      <c r="H153" s="52"/>
      <c r="I153" s="53"/>
      <c r="J153" s="99"/>
      <c r="K153" s="153"/>
      <c r="L153" s="60"/>
      <c r="M153" s="58"/>
      <c r="N153" s="58"/>
      <c r="O153" s="61"/>
      <c r="P153" s="61"/>
      <c r="Q153" s="62"/>
      <c r="R153" s="155"/>
      <c r="S153" s="131"/>
      <c r="T153" s="130"/>
    </row>
    <row r="154" spans="1:20" s="7" customFormat="1" x14ac:dyDescent="0.25">
      <c r="A154" s="152" t="str">
        <f>IF(J154&lt;&gt;"",1+MAX($A$18:A152),"")</f>
        <v/>
      </c>
      <c r="B154" s="50"/>
      <c r="C154" s="63"/>
      <c r="D154" s="100"/>
      <c r="E154" s="178"/>
      <c r="F154" s="172" t="s">
        <v>719</v>
      </c>
      <c r="G154" s="51"/>
      <c r="H154" s="52"/>
      <c r="I154" s="53"/>
      <c r="J154" s="99"/>
      <c r="K154" s="153"/>
      <c r="L154" s="60"/>
      <c r="M154" s="58"/>
      <c r="N154" s="58"/>
      <c r="O154" s="61"/>
      <c r="P154" s="61"/>
      <c r="Q154" s="62"/>
      <c r="R154" s="155"/>
      <c r="S154" s="131"/>
      <c r="T154" s="130"/>
    </row>
    <row r="155" spans="1:20" s="7" customFormat="1" ht="31.2" x14ac:dyDescent="0.25">
      <c r="A155" s="152">
        <f>IF(J155&lt;&gt;"",1+MAX($A$18:A154),"")</f>
        <v>73</v>
      </c>
      <c r="B155" s="50"/>
      <c r="C155" s="50"/>
      <c r="D155" s="100" t="s">
        <v>35</v>
      </c>
      <c r="E155" s="178" t="s">
        <v>104</v>
      </c>
      <c r="F155" s="175" t="s">
        <v>760</v>
      </c>
      <c r="G155" s="51">
        <f>550*10</f>
        <v>5500</v>
      </c>
      <c r="H155" s="52">
        <f>IF(VLOOKUP(J155,'HOURLY RATES'!B$116:C$124,2,0)=0,$J$3,VLOOKUP(J155,'HOURLY RATES'!B$116:C$124,2,0))</f>
        <v>0.05</v>
      </c>
      <c r="I155" s="53">
        <f t="shared" ref="I155:I159" si="157">(G155*(1+H155))</f>
        <v>5775</v>
      </c>
      <c r="J155" s="99" t="s">
        <v>226</v>
      </c>
      <c r="K155" s="153">
        <v>1.7999999999999999E-2</v>
      </c>
      <c r="L155" s="60">
        <f t="shared" ref="L155" si="158">K155*I155</f>
        <v>103.94999999999999</v>
      </c>
      <c r="M155" s="58">
        <f>IF(VLOOKUP(E155,'HOURLY RATES'!C$6:D$105,2,0)=0,$E$3,VLOOKUP(E155,'HOURLY RATES'!C$6:D$105,2,0))</f>
        <v>54</v>
      </c>
      <c r="N155" s="58">
        <f t="shared" ref="N155" si="159">M155*L155</f>
        <v>5613.2999999999993</v>
      </c>
      <c r="O155" s="61">
        <v>0.8</v>
      </c>
      <c r="P155" s="61">
        <f t="shared" ref="P155:P159" si="160">O155*I155</f>
        <v>4620</v>
      </c>
      <c r="Q155" s="62">
        <f t="shared" ref="Q155:Q159" si="161">P155+N155</f>
        <v>10233.299999999999</v>
      </c>
      <c r="R155" s="155"/>
      <c r="S155" s="131">
        <f>((((N155*(1+$D$7))+(P155*(1+$D$5+$D$6)))*(1+$D$8)))/I155</f>
        <v>2.21490864</v>
      </c>
      <c r="T155" s="130">
        <f t="shared" ref="T155:T159" si="162">S155*I155</f>
        <v>12791.097395999999</v>
      </c>
    </row>
    <row r="156" spans="1:20" s="7" customFormat="1" x14ac:dyDescent="0.25">
      <c r="A156" s="152"/>
      <c r="B156" s="50"/>
      <c r="C156" s="63"/>
      <c r="D156" s="100"/>
      <c r="E156" s="178"/>
      <c r="F156" s="103"/>
      <c r="G156" s="51"/>
      <c r="H156" s="52"/>
      <c r="I156" s="53"/>
      <c r="J156" s="99"/>
      <c r="K156" s="153"/>
      <c r="L156" s="60"/>
      <c r="M156" s="58"/>
      <c r="N156" s="58"/>
      <c r="O156" s="61"/>
      <c r="P156" s="61"/>
      <c r="Q156" s="62"/>
      <c r="R156" s="155"/>
      <c r="S156" s="131"/>
      <c r="T156" s="130"/>
    </row>
    <row r="157" spans="1:20" s="7" customFormat="1" x14ac:dyDescent="0.25">
      <c r="A157" s="152" t="str">
        <f>IF(J157&lt;&gt;"",1+MAX($A$18:A155),"")</f>
        <v/>
      </c>
      <c r="B157" s="50"/>
      <c r="C157" s="63"/>
      <c r="D157" s="100"/>
      <c r="E157" s="178"/>
      <c r="F157" s="172" t="s">
        <v>223</v>
      </c>
      <c r="G157" s="51"/>
      <c r="H157" s="52"/>
      <c r="I157" s="53"/>
      <c r="J157" s="99"/>
      <c r="K157" s="153"/>
      <c r="L157" s="60"/>
      <c r="M157" s="58"/>
      <c r="N157" s="58"/>
      <c r="O157" s="61"/>
      <c r="P157" s="61"/>
      <c r="Q157" s="62"/>
      <c r="R157" s="155"/>
      <c r="S157" s="131"/>
      <c r="T157" s="130"/>
    </row>
    <row r="158" spans="1:20" s="7" customFormat="1" ht="31.2" x14ac:dyDescent="0.25">
      <c r="A158" s="152">
        <f>IF(J158&lt;&gt;"",1+MAX($A$18:A157),"")</f>
        <v>74</v>
      </c>
      <c r="B158" s="50"/>
      <c r="C158" s="50"/>
      <c r="D158" s="100" t="s">
        <v>35</v>
      </c>
      <c r="E158" s="178" t="s">
        <v>104</v>
      </c>
      <c r="F158" s="175" t="s">
        <v>757</v>
      </c>
      <c r="G158" s="51">
        <f>4741*10</f>
        <v>47410</v>
      </c>
      <c r="H158" s="52">
        <f>IF(VLOOKUP(J158,'HOURLY RATES'!B$116:C$124,2,0)=0,$J$3,VLOOKUP(J158,'HOURLY RATES'!B$116:C$124,2,0))</f>
        <v>0.05</v>
      </c>
      <c r="I158" s="53">
        <f t="shared" si="157"/>
        <v>49780.5</v>
      </c>
      <c r="J158" s="99" t="s">
        <v>224</v>
      </c>
      <c r="K158" s="153">
        <v>0.02</v>
      </c>
      <c r="L158" s="60">
        <f t="shared" ref="L158:L159" si="163">K158*I158</f>
        <v>995.61</v>
      </c>
      <c r="M158" s="58">
        <f>IF(VLOOKUP(E158,'HOURLY RATES'!C$6:D$105,2,0)=0,$E$3,VLOOKUP(E158,'HOURLY RATES'!C$6:D$105,2,0))</f>
        <v>54</v>
      </c>
      <c r="N158" s="58">
        <f t="shared" ref="N158:N159" si="164">M158*L158</f>
        <v>53762.94</v>
      </c>
      <c r="O158" s="61">
        <v>0.4</v>
      </c>
      <c r="P158" s="61">
        <f t="shared" si="160"/>
        <v>19912.2</v>
      </c>
      <c r="Q158" s="62">
        <f t="shared" si="161"/>
        <v>73675.14</v>
      </c>
      <c r="R158" s="155"/>
      <c r="S158" s="131">
        <f>((((N158*(1+$D$7))+(P158*(1+$D$5+$D$6)))*(1+$D$8)))/I158</f>
        <v>1.8309463199999996</v>
      </c>
      <c r="T158" s="130">
        <f t="shared" si="162"/>
        <v>91145.423282759977</v>
      </c>
    </row>
    <row r="159" spans="1:20" s="7" customFormat="1" ht="31.2" x14ac:dyDescent="0.25">
      <c r="A159" s="152">
        <f>IF(J159&lt;&gt;"",1+MAX($A$18:A158),"")</f>
        <v>75</v>
      </c>
      <c r="B159" s="50"/>
      <c r="C159" s="50"/>
      <c r="D159" s="100" t="s">
        <v>35</v>
      </c>
      <c r="E159" s="178" t="s">
        <v>104</v>
      </c>
      <c r="F159" s="175" t="s">
        <v>759</v>
      </c>
      <c r="G159" s="51">
        <f>800*10</f>
        <v>8000</v>
      </c>
      <c r="H159" s="52">
        <f>IF(VLOOKUP(J159,'HOURLY RATES'!B$116:C$124,2,0)=0,$J$3,VLOOKUP(J159,'HOURLY RATES'!B$116:C$124,2,0))</f>
        <v>0.05</v>
      </c>
      <c r="I159" s="53">
        <f t="shared" si="157"/>
        <v>8400</v>
      </c>
      <c r="J159" s="99" t="s">
        <v>224</v>
      </c>
      <c r="K159" s="153">
        <v>0.02</v>
      </c>
      <c r="L159" s="60">
        <f t="shared" si="163"/>
        <v>168</v>
      </c>
      <c r="M159" s="58">
        <f>IF(VLOOKUP(E159,'HOURLY RATES'!C$6:D$105,2,0)=0,$E$3,VLOOKUP(E159,'HOURLY RATES'!C$6:D$105,2,0))</f>
        <v>54</v>
      </c>
      <c r="N159" s="58">
        <f t="shared" si="164"/>
        <v>9072</v>
      </c>
      <c r="O159" s="61">
        <v>0.4</v>
      </c>
      <c r="P159" s="61">
        <f t="shared" si="160"/>
        <v>3360</v>
      </c>
      <c r="Q159" s="62">
        <f t="shared" si="161"/>
        <v>12432</v>
      </c>
      <c r="R159" s="155"/>
      <c r="S159" s="131">
        <f>((((N159*(1+$D$7))+(P159*(1+$D$5+$D$6)))*(1+$D$8)))/I159</f>
        <v>1.8309463199999998</v>
      </c>
      <c r="T159" s="130">
        <f t="shared" si="162"/>
        <v>15379.949087999998</v>
      </c>
    </row>
    <row r="160" spans="1:20" s="7" customFormat="1" x14ac:dyDescent="0.25">
      <c r="A160" s="276"/>
      <c r="B160" s="277"/>
      <c r="C160" s="277"/>
      <c r="D160" s="278"/>
      <c r="E160" s="277"/>
      <c r="F160" s="103"/>
      <c r="G160" s="279"/>
      <c r="H160" s="280"/>
      <c r="I160" s="281"/>
      <c r="J160" s="282"/>
      <c r="K160" s="283"/>
      <c r="L160" s="284"/>
      <c r="M160" s="285"/>
      <c r="N160" s="285"/>
      <c r="O160" s="286"/>
      <c r="P160" s="286"/>
      <c r="Q160" s="287"/>
      <c r="R160" s="288"/>
      <c r="S160" s="289"/>
      <c r="T160" s="290"/>
    </row>
    <row r="161" spans="1:20" s="7" customFormat="1" x14ac:dyDescent="0.25">
      <c r="A161" s="152" t="str">
        <f>IF(J161&lt;&gt;"",1+MAX($A$18:A158),"")</f>
        <v/>
      </c>
      <c r="B161" s="50"/>
      <c r="C161" s="63"/>
      <c r="D161" s="100"/>
      <c r="E161" s="178"/>
      <c r="F161" s="172" t="s">
        <v>723</v>
      </c>
      <c r="G161" s="51"/>
      <c r="H161" s="52"/>
      <c r="I161" s="53"/>
      <c r="J161" s="99"/>
      <c r="K161" s="153"/>
      <c r="L161" s="60"/>
      <c r="M161" s="58"/>
      <c r="N161" s="58"/>
      <c r="O161" s="61"/>
      <c r="P161" s="61"/>
      <c r="Q161" s="62"/>
      <c r="R161" s="155"/>
      <c r="S161" s="131"/>
      <c r="T161" s="130"/>
    </row>
    <row r="162" spans="1:20" s="7" customFormat="1" ht="31.2" x14ac:dyDescent="0.25">
      <c r="A162" s="152">
        <f>IF(J162&lt;&gt;"",1+MAX($A$18:A161),"")</f>
        <v>76</v>
      </c>
      <c r="B162" s="50"/>
      <c r="C162" s="50"/>
      <c r="D162" s="100" t="s">
        <v>35</v>
      </c>
      <c r="E162" s="178" t="s">
        <v>104</v>
      </c>
      <c r="F162" s="175" t="s">
        <v>804</v>
      </c>
      <c r="G162" s="51">
        <f>13*10</f>
        <v>130</v>
      </c>
      <c r="H162" s="52">
        <f>IF(VLOOKUP(J162,'HOURLY RATES'!B$116:C$124,2,0)=0,$J$3,VLOOKUP(J162,'HOURLY RATES'!B$116:C$124,2,0))</f>
        <v>0</v>
      </c>
      <c r="I162" s="53">
        <f t="shared" ref="I162:I164" si="165">(G162*(1+H162))</f>
        <v>130</v>
      </c>
      <c r="J162" s="99" t="s">
        <v>225</v>
      </c>
      <c r="K162" s="153">
        <v>1.23</v>
      </c>
      <c r="L162" s="60">
        <f t="shared" ref="L162:L164" si="166">K162*I162</f>
        <v>159.9</v>
      </c>
      <c r="M162" s="58">
        <f>IF(VLOOKUP(E162,'HOURLY RATES'!C$6:D$105,2,0)=0,$E$3,VLOOKUP(E162,'HOURLY RATES'!C$6:D$105,2,0))</f>
        <v>54</v>
      </c>
      <c r="N162" s="58">
        <f t="shared" ref="N162:N164" si="167">M162*L162</f>
        <v>8634.6</v>
      </c>
      <c r="O162" s="61">
        <v>28</v>
      </c>
      <c r="P162" s="61">
        <f t="shared" ref="P162:P164" si="168">O162*I162</f>
        <v>3640</v>
      </c>
      <c r="Q162" s="62">
        <f t="shared" ref="Q162:Q164" si="169">P162+N162</f>
        <v>12274.6</v>
      </c>
      <c r="R162" s="155"/>
      <c r="S162" s="131">
        <f>((((N162*(1+$D$7))+(P162*(1+$D$5+$D$6)))*(1+$D$8)))/I162</f>
        <v>116.9850024</v>
      </c>
      <c r="T162" s="130">
        <f t="shared" ref="T162:T164" si="170">S162*I162</f>
        <v>15208.050311999999</v>
      </c>
    </row>
    <row r="163" spans="1:20" s="7" customFormat="1" ht="31.2" x14ac:dyDescent="0.25">
      <c r="A163" s="152">
        <f>IF(J163&lt;&gt;"",1+MAX($A$18:A162),"")</f>
        <v>77</v>
      </c>
      <c r="B163" s="50"/>
      <c r="C163" s="50"/>
      <c r="D163" s="100" t="s">
        <v>35</v>
      </c>
      <c r="E163" s="178" t="s">
        <v>104</v>
      </c>
      <c r="F163" s="175" t="s">
        <v>805</v>
      </c>
      <c r="G163" s="51">
        <f>218*10</f>
        <v>2180</v>
      </c>
      <c r="H163" s="52">
        <f>IF(VLOOKUP(J163,'HOURLY RATES'!B$116:C$124,2,0)=0,$J$3,VLOOKUP(J163,'HOURLY RATES'!B$116:C$124,2,0))</f>
        <v>0.05</v>
      </c>
      <c r="I163" s="53">
        <f t="shared" si="165"/>
        <v>2289</v>
      </c>
      <c r="J163" s="99" t="s">
        <v>226</v>
      </c>
      <c r="K163" s="153">
        <v>1.7999999999999999E-2</v>
      </c>
      <c r="L163" s="60">
        <f t="shared" si="166"/>
        <v>41.201999999999998</v>
      </c>
      <c r="M163" s="58">
        <f>IF(VLOOKUP(E163,'HOURLY RATES'!C$6:D$105,2,0)=0,$E$3,VLOOKUP(E163,'HOURLY RATES'!C$6:D$105,2,0))</f>
        <v>54</v>
      </c>
      <c r="N163" s="58">
        <f t="shared" si="167"/>
        <v>2224.9079999999999</v>
      </c>
      <c r="O163" s="61">
        <v>0.8</v>
      </c>
      <c r="P163" s="61">
        <f t="shared" si="168"/>
        <v>1831.2</v>
      </c>
      <c r="Q163" s="62">
        <f t="shared" si="169"/>
        <v>4056.1080000000002</v>
      </c>
      <c r="R163" s="155"/>
      <c r="S163" s="131">
        <f>((((N163*(1+$D$7))+(P163*(1+$D$5+$D$6)))*(1+$D$8)))/I163</f>
        <v>2.2149086399999995</v>
      </c>
      <c r="T163" s="130">
        <f t="shared" si="170"/>
        <v>5069.9258769599992</v>
      </c>
    </row>
    <row r="164" spans="1:20" s="7" customFormat="1" ht="31.2" x14ac:dyDescent="0.25">
      <c r="A164" s="152">
        <f>IF(J164&lt;&gt;"",1+MAX($A$18:A163),"")</f>
        <v>78</v>
      </c>
      <c r="B164" s="50"/>
      <c r="C164" s="50"/>
      <c r="D164" s="100" t="s">
        <v>35</v>
      </c>
      <c r="E164" s="178" t="s">
        <v>104</v>
      </c>
      <c r="F164" s="175" t="s">
        <v>806</v>
      </c>
      <c r="G164" s="51">
        <f>435*10</f>
        <v>4350</v>
      </c>
      <c r="H164" s="52">
        <f>IF(VLOOKUP(J164,'HOURLY RATES'!B$116:C$124,2,0)=0,$J$3,VLOOKUP(J164,'HOURLY RATES'!B$116:C$124,2,0))</f>
        <v>0.05</v>
      </c>
      <c r="I164" s="53">
        <f t="shared" si="165"/>
        <v>4567.5</v>
      </c>
      <c r="J164" s="99" t="s">
        <v>226</v>
      </c>
      <c r="K164" s="153">
        <v>1.7999999999999999E-2</v>
      </c>
      <c r="L164" s="60">
        <f t="shared" si="166"/>
        <v>82.214999999999989</v>
      </c>
      <c r="M164" s="58">
        <f>IF(VLOOKUP(E164,'HOURLY RATES'!C$6:D$105,2,0)=0,$E$3,VLOOKUP(E164,'HOURLY RATES'!C$6:D$105,2,0))</f>
        <v>54</v>
      </c>
      <c r="N164" s="58">
        <f t="shared" si="167"/>
        <v>4439.6099999999997</v>
      </c>
      <c r="O164" s="61">
        <v>0.8</v>
      </c>
      <c r="P164" s="61">
        <f t="shared" si="168"/>
        <v>3654</v>
      </c>
      <c r="Q164" s="62">
        <f t="shared" si="169"/>
        <v>8093.61</v>
      </c>
      <c r="R164" s="155"/>
      <c r="S164" s="131">
        <f>((((N164*(1+$D$7))+(P164*(1+$D$5+$D$6)))*(1+$D$8)))/I164</f>
        <v>2.2149086399999995</v>
      </c>
      <c r="T164" s="130">
        <f t="shared" si="170"/>
        <v>10116.595213199998</v>
      </c>
    </row>
    <row r="165" spans="1:20" s="7" customFormat="1" x14ac:dyDescent="0.25">
      <c r="A165" s="152"/>
      <c r="B165" s="50"/>
      <c r="C165" s="63"/>
      <c r="D165" s="100"/>
      <c r="E165" s="178"/>
      <c r="F165" s="103"/>
      <c r="G165" s="51"/>
      <c r="H165" s="52"/>
      <c r="I165" s="53"/>
      <c r="J165" s="99"/>
      <c r="K165" s="153"/>
      <c r="L165" s="60"/>
      <c r="M165" s="58"/>
      <c r="N165" s="58"/>
      <c r="O165" s="61"/>
      <c r="P165" s="61"/>
      <c r="Q165" s="62"/>
      <c r="R165" s="155"/>
      <c r="S165" s="131"/>
      <c r="T165" s="130"/>
    </row>
    <row r="166" spans="1:20" s="7" customFormat="1" x14ac:dyDescent="0.25">
      <c r="A166" s="152">
        <f>IF(J166&lt;&gt;"",1+MAX($A$18:A164),"")</f>
        <v>79</v>
      </c>
      <c r="B166" s="50"/>
      <c r="C166" s="63"/>
      <c r="D166" s="100"/>
      <c r="E166" s="178"/>
      <c r="F166" s="177" t="s">
        <v>764</v>
      </c>
      <c r="G166" s="108">
        <v>8</v>
      </c>
      <c r="H166" s="52"/>
      <c r="I166" s="53"/>
      <c r="J166" s="99" t="s">
        <v>225</v>
      </c>
      <c r="K166" s="153"/>
      <c r="L166" s="60"/>
      <c r="M166" s="58"/>
      <c r="N166" s="58"/>
      <c r="O166" s="61"/>
      <c r="P166" s="61"/>
      <c r="Q166" s="62"/>
      <c r="R166" s="155"/>
      <c r="S166" s="131"/>
      <c r="T166" s="130"/>
    </row>
    <row r="167" spans="1:20" s="7" customFormat="1" x14ac:dyDescent="0.25">
      <c r="A167" s="152" t="str">
        <f>IF(J167&lt;&gt;"",1+MAX($A$18:A166),"")</f>
        <v/>
      </c>
      <c r="B167" s="50"/>
      <c r="C167" s="63"/>
      <c r="D167" s="100"/>
      <c r="E167" s="178"/>
      <c r="F167" s="172" t="s">
        <v>722</v>
      </c>
      <c r="G167" s="51"/>
      <c r="H167" s="52"/>
      <c r="I167" s="53"/>
      <c r="J167" s="99"/>
      <c r="K167" s="153"/>
      <c r="L167" s="60"/>
      <c r="M167" s="58"/>
      <c r="N167" s="58"/>
      <c r="O167" s="61"/>
      <c r="P167" s="61"/>
      <c r="Q167" s="62"/>
      <c r="R167" s="155"/>
      <c r="S167" s="131"/>
      <c r="T167" s="130"/>
    </row>
    <row r="168" spans="1:20" s="7" customFormat="1" ht="31.2" x14ac:dyDescent="0.25">
      <c r="A168" s="152">
        <f>IF(J168&lt;&gt;"",1+MAX($A$18:A167),"")</f>
        <v>80</v>
      </c>
      <c r="B168" s="50"/>
      <c r="C168" s="50"/>
      <c r="D168" s="100" t="s">
        <v>35</v>
      </c>
      <c r="E168" s="178" t="s">
        <v>104</v>
      </c>
      <c r="F168" s="175" t="s">
        <v>758</v>
      </c>
      <c r="G168" s="51">
        <f>1142*8</f>
        <v>9136</v>
      </c>
      <c r="H168" s="52">
        <f>IF(VLOOKUP(J168,'HOURLY RATES'!B$116:C$124,2,0)=0,$J$3,VLOOKUP(J168,'HOURLY RATES'!B$116:C$124,2,0))</f>
        <v>0.05</v>
      </c>
      <c r="I168" s="53">
        <f t="shared" ref="I168" si="171">(G168*(1+H168))</f>
        <v>9592.8000000000011</v>
      </c>
      <c r="J168" s="99" t="s">
        <v>224</v>
      </c>
      <c r="K168" s="153">
        <v>2.1999999999999999E-2</v>
      </c>
      <c r="L168" s="60">
        <f t="shared" ref="L168" si="172">K168*I168</f>
        <v>211.04160000000002</v>
      </c>
      <c r="M168" s="58">
        <f>IF(VLOOKUP(E168,'HOURLY RATES'!C$6:D$105,2,0)=0,$E$3,VLOOKUP(E168,'HOURLY RATES'!C$6:D$105,2,0))</f>
        <v>54</v>
      </c>
      <c r="N168" s="58">
        <f t="shared" ref="N168" si="173">M168*L168</f>
        <v>11396.2464</v>
      </c>
      <c r="O168" s="61">
        <v>0.4</v>
      </c>
      <c r="P168" s="61">
        <f t="shared" ref="P168" si="174">O168*I168</f>
        <v>3837.1200000000008</v>
      </c>
      <c r="Q168" s="62">
        <f t="shared" ref="Q168" si="175">P168+N168</f>
        <v>15233.366400000001</v>
      </c>
      <c r="R168" s="155"/>
      <c r="S168" s="131">
        <f>((((N168*(1+$D$7))+(P168*(1+$D$5+$D$6)))*(1+$D$8)))/I168</f>
        <v>1.9624903199999997</v>
      </c>
      <c r="T168" s="130">
        <f t="shared" ref="T168" si="176">S168*I168</f>
        <v>18825.777141695999</v>
      </c>
    </row>
    <row r="169" spans="1:20" s="7" customFormat="1" x14ac:dyDescent="0.25">
      <c r="A169" s="152"/>
      <c r="B169" s="50"/>
      <c r="C169" s="63"/>
      <c r="D169" s="100"/>
      <c r="E169" s="178"/>
      <c r="F169" s="103"/>
      <c r="G169" s="51"/>
      <c r="H169" s="52"/>
      <c r="I169" s="53"/>
      <c r="J169" s="99"/>
      <c r="K169" s="153"/>
      <c r="L169" s="60"/>
      <c r="M169" s="58"/>
      <c r="N169" s="58"/>
      <c r="O169" s="61"/>
      <c r="P169" s="61"/>
      <c r="Q169" s="62"/>
      <c r="R169" s="155"/>
      <c r="S169" s="131"/>
      <c r="T169" s="130"/>
    </row>
    <row r="170" spans="1:20" s="7" customFormat="1" x14ac:dyDescent="0.25">
      <c r="A170" s="152" t="str">
        <f>IF(J170&lt;&gt;"",1+MAX($A$18:A168),"")</f>
        <v/>
      </c>
      <c r="B170" s="50"/>
      <c r="C170" s="63"/>
      <c r="D170" s="100"/>
      <c r="E170" s="178"/>
      <c r="F170" s="172" t="s">
        <v>719</v>
      </c>
      <c r="G170" s="51"/>
      <c r="H170" s="52"/>
      <c r="I170" s="53"/>
      <c r="J170" s="99"/>
      <c r="K170" s="153"/>
      <c r="L170" s="60"/>
      <c r="M170" s="58"/>
      <c r="N170" s="58"/>
      <c r="O170" s="61"/>
      <c r="P170" s="61"/>
      <c r="Q170" s="62"/>
      <c r="R170" s="155"/>
      <c r="S170" s="131"/>
      <c r="T170" s="130"/>
    </row>
    <row r="171" spans="1:20" s="7" customFormat="1" ht="31.2" x14ac:dyDescent="0.25">
      <c r="A171" s="152">
        <f>IF(J171&lt;&gt;"",1+MAX($A$18:A170),"")</f>
        <v>81</v>
      </c>
      <c r="B171" s="50"/>
      <c r="C171" s="50"/>
      <c r="D171" s="100" t="s">
        <v>35</v>
      </c>
      <c r="E171" s="178" t="s">
        <v>104</v>
      </c>
      <c r="F171" s="175" t="s">
        <v>760</v>
      </c>
      <c r="G171" s="51">
        <f>295*8</f>
        <v>2360</v>
      </c>
      <c r="H171" s="52">
        <f>IF(VLOOKUP(J171,'HOURLY RATES'!B$116:C$124,2,0)=0,$J$3,VLOOKUP(J171,'HOURLY RATES'!B$116:C$124,2,0))</f>
        <v>0.05</v>
      </c>
      <c r="I171" s="53">
        <f t="shared" ref="I171:I175" si="177">(G171*(1+H171))</f>
        <v>2478</v>
      </c>
      <c r="J171" s="99" t="s">
        <v>226</v>
      </c>
      <c r="K171" s="153">
        <v>1.7999999999999999E-2</v>
      </c>
      <c r="L171" s="60">
        <f t="shared" ref="L171" si="178">K171*I171</f>
        <v>44.603999999999999</v>
      </c>
      <c r="M171" s="58">
        <f>IF(VLOOKUP(E171,'HOURLY RATES'!C$6:D$105,2,0)=0,$E$3,VLOOKUP(E171,'HOURLY RATES'!C$6:D$105,2,0))</f>
        <v>54</v>
      </c>
      <c r="N171" s="58">
        <f t="shared" ref="N171" si="179">M171*L171</f>
        <v>2408.616</v>
      </c>
      <c r="O171" s="61">
        <v>0.8</v>
      </c>
      <c r="P171" s="61">
        <f t="shared" ref="P171:P175" si="180">O171*I171</f>
        <v>1982.4</v>
      </c>
      <c r="Q171" s="62">
        <f t="shared" ref="Q171:Q175" si="181">P171+N171</f>
        <v>4391.0159999999996</v>
      </c>
      <c r="R171" s="155"/>
      <c r="S171" s="131">
        <f>((((N171*(1+$D$7))+(P171*(1+$D$5+$D$6)))*(1+$D$8)))/I171</f>
        <v>2.21490864</v>
      </c>
      <c r="T171" s="130">
        <f t="shared" ref="T171:T175" si="182">S171*I171</f>
        <v>5488.5436099199997</v>
      </c>
    </row>
    <row r="172" spans="1:20" s="7" customFormat="1" x14ac:dyDescent="0.25">
      <c r="A172" s="152"/>
      <c r="B172" s="50"/>
      <c r="C172" s="63"/>
      <c r="D172" s="100"/>
      <c r="E172" s="178"/>
      <c r="F172" s="103"/>
      <c r="G172" s="51"/>
      <c r="H172" s="52"/>
      <c r="I172" s="53"/>
      <c r="J172" s="99"/>
      <c r="K172" s="153"/>
      <c r="L172" s="60"/>
      <c r="M172" s="58"/>
      <c r="N172" s="58"/>
      <c r="O172" s="61"/>
      <c r="P172" s="61"/>
      <c r="Q172" s="62"/>
      <c r="R172" s="155"/>
      <c r="S172" s="131"/>
      <c r="T172" s="130"/>
    </row>
    <row r="173" spans="1:20" s="7" customFormat="1" x14ac:dyDescent="0.25">
      <c r="A173" s="152" t="str">
        <f>IF(J173&lt;&gt;"",1+MAX($A$18:A171),"")</f>
        <v/>
      </c>
      <c r="B173" s="50"/>
      <c r="C173" s="63"/>
      <c r="D173" s="100"/>
      <c r="E173" s="178"/>
      <c r="F173" s="172" t="s">
        <v>223</v>
      </c>
      <c r="G173" s="51"/>
      <c r="H173" s="52"/>
      <c r="I173" s="53"/>
      <c r="J173" s="99"/>
      <c r="K173" s="153"/>
      <c r="L173" s="60"/>
      <c r="M173" s="58"/>
      <c r="N173" s="58"/>
      <c r="O173" s="61"/>
      <c r="P173" s="61"/>
      <c r="Q173" s="62"/>
      <c r="R173" s="155"/>
      <c r="S173" s="131"/>
      <c r="T173" s="130"/>
    </row>
    <row r="174" spans="1:20" s="7" customFormat="1" ht="31.2" x14ac:dyDescent="0.25">
      <c r="A174" s="152">
        <f>IF(J174&lt;&gt;"",1+MAX($A$18:A172),"")</f>
        <v>82</v>
      </c>
      <c r="B174" s="50"/>
      <c r="C174" s="50"/>
      <c r="D174" s="100" t="s">
        <v>35</v>
      </c>
      <c r="E174" s="178" t="s">
        <v>104</v>
      </c>
      <c r="F174" s="175" t="s">
        <v>757</v>
      </c>
      <c r="G174" s="51">
        <f>2363*8</f>
        <v>18904</v>
      </c>
      <c r="H174" s="52">
        <f>IF(VLOOKUP(J174,'HOURLY RATES'!B$116:C$124,2,0)=0,$J$3,VLOOKUP(J174,'HOURLY RATES'!B$116:C$124,2,0))</f>
        <v>0.05</v>
      </c>
      <c r="I174" s="53">
        <f t="shared" ref="I174" si="183">(G174*(1+H174))</f>
        <v>19849.2</v>
      </c>
      <c r="J174" s="99" t="s">
        <v>224</v>
      </c>
      <c r="K174" s="153">
        <v>0.02</v>
      </c>
      <c r="L174" s="60">
        <f t="shared" ref="L174:L175" si="184">K174*I174</f>
        <v>396.98400000000004</v>
      </c>
      <c r="M174" s="58">
        <f>IF(VLOOKUP(E174,'HOURLY RATES'!C$6:D$105,2,0)=0,$E$3,VLOOKUP(E174,'HOURLY RATES'!C$6:D$105,2,0))</f>
        <v>54</v>
      </c>
      <c r="N174" s="58">
        <f t="shared" ref="N174:N175" si="185">M174*L174</f>
        <v>21437.136000000002</v>
      </c>
      <c r="O174" s="61">
        <v>0.4</v>
      </c>
      <c r="P174" s="61">
        <f t="shared" ref="P174" si="186">O174*I174</f>
        <v>7939.68</v>
      </c>
      <c r="Q174" s="62">
        <f t="shared" ref="Q174" si="187">P174+N174</f>
        <v>29376.816000000003</v>
      </c>
      <c r="R174" s="155"/>
      <c r="S174" s="131">
        <f>((((N174*(1+$D$7))+(P174*(1+$D$5+$D$6)))*(1+$D$8)))/I174</f>
        <v>1.8309463199999998</v>
      </c>
      <c r="T174" s="130">
        <f t="shared" ref="T174" si="188">S174*I174</f>
        <v>36342.819694943995</v>
      </c>
    </row>
    <row r="175" spans="1:20" s="7" customFormat="1" ht="31.2" x14ac:dyDescent="0.25">
      <c r="A175" s="152">
        <f>IF(J175&lt;&gt;"",1+MAX($A$18:A173),"")</f>
        <v>82</v>
      </c>
      <c r="B175" s="50"/>
      <c r="C175" s="50"/>
      <c r="D175" s="100" t="s">
        <v>35</v>
      </c>
      <c r="E175" s="178" t="s">
        <v>104</v>
      </c>
      <c r="F175" s="175" t="s">
        <v>759</v>
      </c>
      <c r="G175" s="51">
        <f>447*8</f>
        <v>3576</v>
      </c>
      <c r="H175" s="52">
        <f>IF(VLOOKUP(J175,'HOURLY RATES'!B$116:C$124,2,0)=0,$J$3,VLOOKUP(J175,'HOURLY RATES'!B$116:C$124,2,0))</f>
        <v>0.05</v>
      </c>
      <c r="I175" s="53">
        <f t="shared" si="177"/>
        <v>3754.8</v>
      </c>
      <c r="J175" s="99" t="s">
        <v>224</v>
      </c>
      <c r="K175" s="153">
        <v>0.02</v>
      </c>
      <c r="L175" s="60">
        <f t="shared" si="184"/>
        <v>75.096000000000004</v>
      </c>
      <c r="M175" s="58">
        <f>IF(VLOOKUP(E175,'HOURLY RATES'!C$6:D$105,2,0)=0,$E$3,VLOOKUP(E175,'HOURLY RATES'!C$6:D$105,2,0))</f>
        <v>54</v>
      </c>
      <c r="N175" s="58">
        <f t="shared" si="185"/>
        <v>4055.1840000000002</v>
      </c>
      <c r="O175" s="61">
        <v>0.4</v>
      </c>
      <c r="P175" s="61">
        <f t="shared" si="180"/>
        <v>1501.92</v>
      </c>
      <c r="Q175" s="62">
        <f t="shared" si="181"/>
        <v>5557.1040000000003</v>
      </c>
      <c r="R175" s="155"/>
      <c r="S175" s="131">
        <f>((((N175*(1+$D$7))+(P175*(1+$D$5+$D$6)))*(1+$D$8)))/I175</f>
        <v>1.8309463199999998</v>
      </c>
      <c r="T175" s="130">
        <f t="shared" si="182"/>
        <v>6874.8372423359997</v>
      </c>
    </row>
    <row r="176" spans="1:20" s="7" customFormat="1" x14ac:dyDescent="0.25">
      <c r="A176" s="152"/>
      <c r="B176" s="50"/>
      <c r="C176" s="63"/>
      <c r="D176" s="100"/>
      <c r="E176" s="178"/>
      <c r="F176" s="103"/>
      <c r="G176" s="51"/>
      <c r="H176" s="52"/>
      <c r="I176" s="53"/>
      <c r="J176" s="99"/>
      <c r="K176" s="153"/>
      <c r="L176" s="60"/>
      <c r="M176" s="58"/>
      <c r="N176" s="58"/>
      <c r="O176" s="61"/>
      <c r="P176" s="61"/>
      <c r="Q176" s="62"/>
      <c r="R176" s="155"/>
      <c r="S176" s="131"/>
      <c r="T176" s="130"/>
    </row>
    <row r="177" spans="1:20" s="7" customFormat="1" x14ac:dyDescent="0.25">
      <c r="A177" s="152" t="str">
        <f>IF(J177&lt;&gt;"",1+MAX($A$18:A175),"")</f>
        <v/>
      </c>
      <c r="B177" s="50"/>
      <c r="C177" s="63"/>
      <c r="D177" s="100"/>
      <c r="E177" s="178"/>
      <c r="F177" s="172" t="s">
        <v>723</v>
      </c>
      <c r="G177" s="51"/>
      <c r="H177" s="52"/>
      <c r="I177" s="53"/>
      <c r="J177" s="99"/>
      <c r="K177" s="153"/>
      <c r="L177" s="60"/>
      <c r="M177" s="58"/>
      <c r="N177" s="58"/>
      <c r="O177" s="61"/>
      <c r="P177" s="61"/>
      <c r="Q177" s="62"/>
      <c r="R177" s="155"/>
      <c r="S177" s="131"/>
      <c r="T177" s="130"/>
    </row>
    <row r="178" spans="1:20" s="7" customFormat="1" ht="31.2" x14ac:dyDescent="0.25">
      <c r="A178" s="152">
        <f>IF(J178&lt;&gt;"",1+MAX($A$18:A177),"")</f>
        <v>83</v>
      </c>
      <c r="B178" s="50"/>
      <c r="C178" s="50"/>
      <c r="D178" s="100" t="s">
        <v>35</v>
      </c>
      <c r="E178" s="178" t="s">
        <v>104</v>
      </c>
      <c r="F178" s="175" t="s">
        <v>804</v>
      </c>
      <c r="G178" s="51">
        <f>10*8</f>
        <v>80</v>
      </c>
      <c r="H178" s="52">
        <f>IF(VLOOKUP(J178,'HOURLY RATES'!B$116:C$124,2,0)=0,$J$3,VLOOKUP(J178,'HOURLY RATES'!B$116:C$124,2,0))</f>
        <v>0</v>
      </c>
      <c r="I178" s="53">
        <f t="shared" ref="I178:I180" si="189">(G178*(1+H178))</f>
        <v>80</v>
      </c>
      <c r="J178" s="99" t="s">
        <v>225</v>
      </c>
      <c r="K178" s="153">
        <v>1.23</v>
      </c>
      <c r="L178" s="60">
        <f t="shared" ref="L178:L180" si="190">K178*I178</f>
        <v>98.4</v>
      </c>
      <c r="M178" s="58">
        <f>IF(VLOOKUP(E178,'HOURLY RATES'!C$6:D$105,2,0)=0,$E$3,VLOOKUP(E178,'HOURLY RATES'!C$6:D$105,2,0))</f>
        <v>54</v>
      </c>
      <c r="N178" s="58">
        <f t="shared" ref="N178:N180" si="191">M178*L178</f>
        <v>5313.6</v>
      </c>
      <c r="O178" s="61">
        <v>58</v>
      </c>
      <c r="P178" s="61">
        <f t="shared" ref="P178:P180" si="192">O178*I178</f>
        <v>4640</v>
      </c>
      <c r="Q178" s="62">
        <f t="shared" ref="Q178:Q180" si="193">P178+N178</f>
        <v>9953.6</v>
      </c>
      <c r="R178" s="155"/>
      <c r="S178" s="131">
        <f>((((N178*(1+$D$7))+(P178*(1+$D$5+$D$6)))*(1+$D$8)))/I178</f>
        <v>155.6479764</v>
      </c>
      <c r="T178" s="130">
        <f t="shared" ref="T178:T180" si="194">S178*I178</f>
        <v>12451.838112000001</v>
      </c>
    </row>
    <row r="179" spans="1:20" s="7" customFormat="1" ht="31.2" x14ac:dyDescent="0.25">
      <c r="A179" s="152">
        <f>IF(J179&lt;&gt;"",1+MAX($A$18:A178),"")</f>
        <v>84</v>
      </c>
      <c r="B179" s="50"/>
      <c r="C179" s="50"/>
      <c r="D179" s="100" t="s">
        <v>35</v>
      </c>
      <c r="E179" s="178" t="s">
        <v>104</v>
      </c>
      <c r="F179" s="175" t="s">
        <v>805</v>
      </c>
      <c r="G179" s="51">
        <f>170*8</f>
        <v>1360</v>
      </c>
      <c r="H179" s="52">
        <f>IF(VLOOKUP(J179,'HOURLY RATES'!B$116:C$124,2,0)=0,$J$3,VLOOKUP(J179,'HOURLY RATES'!B$116:C$124,2,0))</f>
        <v>0.05</v>
      </c>
      <c r="I179" s="53">
        <f t="shared" si="189"/>
        <v>1428</v>
      </c>
      <c r="J179" s="99" t="s">
        <v>226</v>
      </c>
      <c r="K179" s="153">
        <v>1.7999999999999999E-2</v>
      </c>
      <c r="L179" s="60">
        <f t="shared" si="190"/>
        <v>25.703999999999997</v>
      </c>
      <c r="M179" s="58">
        <f>IF(VLOOKUP(E179,'HOURLY RATES'!C$6:D$105,2,0)=0,$E$3,VLOOKUP(E179,'HOURLY RATES'!C$6:D$105,2,0))</f>
        <v>54</v>
      </c>
      <c r="N179" s="58">
        <f t="shared" si="191"/>
        <v>1388.0159999999998</v>
      </c>
      <c r="O179" s="61">
        <v>0.8</v>
      </c>
      <c r="P179" s="61">
        <f t="shared" si="192"/>
        <v>1142.4000000000001</v>
      </c>
      <c r="Q179" s="62">
        <f t="shared" si="193"/>
        <v>2530.4160000000002</v>
      </c>
      <c r="R179" s="155"/>
      <c r="S179" s="131">
        <f>((((N179*(1+$D$7))+(P179*(1+$D$5+$D$6)))*(1+$D$8)))/I179</f>
        <v>2.21490864</v>
      </c>
      <c r="T179" s="130">
        <f t="shared" si="194"/>
        <v>3162.8895379199998</v>
      </c>
    </row>
    <row r="180" spans="1:20" s="7" customFormat="1" ht="31.2" x14ac:dyDescent="0.25">
      <c r="A180" s="152">
        <f>IF(J180&lt;&gt;"",1+MAX($A$18:A179),"")</f>
        <v>85</v>
      </c>
      <c r="B180" s="50"/>
      <c r="C180" s="50"/>
      <c r="D180" s="100" t="s">
        <v>35</v>
      </c>
      <c r="E180" s="178" t="s">
        <v>104</v>
      </c>
      <c r="F180" s="175" t="s">
        <v>806</v>
      </c>
      <c r="G180" s="51">
        <f>339*8</f>
        <v>2712</v>
      </c>
      <c r="H180" s="52">
        <f>IF(VLOOKUP(J180,'HOURLY RATES'!B$116:C$124,2,0)=0,$J$3,VLOOKUP(J180,'HOURLY RATES'!B$116:C$124,2,0))</f>
        <v>0.05</v>
      </c>
      <c r="I180" s="53">
        <f t="shared" si="189"/>
        <v>2847.6</v>
      </c>
      <c r="J180" s="99" t="s">
        <v>226</v>
      </c>
      <c r="K180" s="153">
        <v>1.7999999999999999E-2</v>
      </c>
      <c r="L180" s="60">
        <f t="shared" si="190"/>
        <v>51.256799999999991</v>
      </c>
      <c r="M180" s="58">
        <f>IF(VLOOKUP(E180,'HOURLY RATES'!C$6:D$105,2,0)=0,$E$3,VLOOKUP(E180,'HOURLY RATES'!C$6:D$105,2,0))</f>
        <v>54</v>
      </c>
      <c r="N180" s="58">
        <f t="shared" si="191"/>
        <v>2767.8671999999997</v>
      </c>
      <c r="O180" s="61">
        <v>0.8</v>
      </c>
      <c r="P180" s="61">
        <f t="shared" si="192"/>
        <v>2278.08</v>
      </c>
      <c r="Q180" s="62">
        <f t="shared" si="193"/>
        <v>5045.9471999999996</v>
      </c>
      <c r="R180" s="155"/>
      <c r="S180" s="131">
        <f>((((N180*(1+$D$7))+(P180*(1+$D$5+$D$6)))*(1+$D$8)))/I180</f>
        <v>2.2149086399999995</v>
      </c>
      <c r="T180" s="130">
        <f t="shared" si="194"/>
        <v>6307.1738432639986</v>
      </c>
    </row>
    <row r="181" spans="1:20" s="7" customFormat="1" x14ac:dyDescent="0.25">
      <c r="A181" s="152"/>
      <c r="B181" s="50"/>
      <c r="C181" s="63"/>
      <c r="D181" s="100"/>
      <c r="E181" s="178"/>
      <c r="F181" s="103"/>
      <c r="G181" s="51"/>
      <c r="H181" s="52"/>
      <c r="I181" s="53"/>
      <c r="J181" s="99"/>
      <c r="K181" s="153"/>
      <c r="L181" s="60"/>
      <c r="M181" s="58"/>
      <c r="N181" s="58"/>
      <c r="O181" s="61"/>
      <c r="P181" s="61"/>
      <c r="Q181" s="62"/>
      <c r="R181" s="155"/>
      <c r="S181" s="131"/>
      <c r="T181" s="130"/>
    </row>
    <row r="182" spans="1:20" s="7" customFormat="1" x14ac:dyDescent="0.25">
      <c r="A182" s="152">
        <f>IF(J182&lt;&gt;"",1+MAX($A$18:A180),"")</f>
        <v>86</v>
      </c>
      <c r="B182" s="50"/>
      <c r="C182" s="63"/>
      <c r="D182" s="100"/>
      <c r="E182" s="178"/>
      <c r="F182" s="177" t="s">
        <v>755</v>
      </c>
      <c r="G182" s="108">
        <v>8</v>
      </c>
      <c r="H182" s="52"/>
      <c r="I182" s="53"/>
      <c r="J182" s="99" t="s">
        <v>225</v>
      </c>
      <c r="K182" s="153"/>
      <c r="L182" s="60"/>
      <c r="M182" s="58"/>
      <c r="N182" s="58"/>
      <c r="O182" s="61"/>
      <c r="P182" s="61"/>
      <c r="Q182" s="62"/>
      <c r="R182" s="155"/>
      <c r="S182" s="131"/>
      <c r="T182" s="130"/>
    </row>
    <row r="183" spans="1:20" s="7" customFormat="1" x14ac:dyDescent="0.25">
      <c r="A183" s="152" t="str">
        <f>IF(J183&lt;&gt;"",1+MAX($A$18:A182),"")</f>
        <v/>
      </c>
      <c r="B183" s="50"/>
      <c r="C183" s="63"/>
      <c r="D183" s="100"/>
      <c r="E183" s="178"/>
      <c r="F183" s="172" t="s">
        <v>722</v>
      </c>
      <c r="G183" s="51"/>
      <c r="H183" s="52"/>
      <c r="I183" s="53"/>
      <c r="J183" s="99"/>
      <c r="K183" s="153"/>
      <c r="L183" s="60"/>
      <c r="M183" s="58"/>
      <c r="N183" s="58"/>
      <c r="O183" s="61"/>
      <c r="P183" s="61"/>
      <c r="Q183" s="62"/>
      <c r="R183" s="155"/>
      <c r="S183" s="131"/>
      <c r="T183" s="130"/>
    </row>
    <row r="184" spans="1:20" s="7" customFormat="1" ht="31.2" x14ac:dyDescent="0.25">
      <c r="A184" s="152">
        <f>IF(J184&lt;&gt;"",1+MAX($A$18:A183),"")</f>
        <v>87</v>
      </c>
      <c r="B184" s="50"/>
      <c r="C184" s="50"/>
      <c r="D184" s="100" t="s">
        <v>35</v>
      </c>
      <c r="E184" s="178" t="s">
        <v>104</v>
      </c>
      <c r="F184" s="175" t="s">
        <v>758</v>
      </c>
      <c r="G184" s="51">
        <f>1309*8</f>
        <v>10472</v>
      </c>
      <c r="H184" s="52">
        <f>IF(VLOOKUP(J184,'HOURLY RATES'!B$116:C$124,2,0)=0,$J$3,VLOOKUP(J184,'HOURLY RATES'!B$116:C$124,2,0))</f>
        <v>0.05</v>
      </c>
      <c r="I184" s="53">
        <f t="shared" ref="I184" si="195">(G184*(1+H184))</f>
        <v>10995.6</v>
      </c>
      <c r="J184" s="99" t="s">
        <v>224</v>
      </c>
      <c r="K184" s="153">
        <v>2.1999999999999999E-2</v>
      </c>
      <c r="L184" s="60">
        <f t="shared" ref="L184" si="196">K184*I184</f>
        <v>241.9032</v>
      </c>
      <c r="M184" s="58">
        <f>IF(VLOOKUP(E184,'HOURLY RATES'!C$6:D$105,2,0)=0,$E$3,VLOOKUP(E184,'HOURLY RATES'!C$6:D$105,2,0))</f>
        <v>54</v>
      </c>
      <c r="N184" s="58">
        <f t="shared" ref="N184" si="197">M184*L184</f>
        <v>13062.772800000001</v>
      </c>
      <c r="O184" s="61">
        <v>0.4</v>
      </c>
      <c r="P184" s="61">
        <f t="shared" ref="P184" si="198">O184*I184</f>
        <v>4398.2400000000007</v>
      </c>
      <c r="Q184" s="62">
        <f t="shared" ref="Q184" si="199">P184+N184</f>
        <v>17461.0128</v>
      </c>
      <c r="R184" s="155"/>
      <c r="S184" s="131">
        <f>((((N184*(1+$D$7))+(P184*(1+$D$5+$D$6)))*(1+$D$8)))/I184</f>
        <v>1.9624903199999999</v>
      </c>
      <c r="T184" s="130">
        <f t="shared" ref="T184" si="200">S184*I184</f>
        <v>21578.758562592</v>
      </c>
    </row>
    <row r="185" spans="1:20" s="7" customFormat="1" x14ac:dyDescent="0.25">
      <c r="A185" s="152"/>
      <c r="B185" s="50"/>
      <c r="C185" s="63"/>
      <c r="D185" s="100"/>
      <c r="E185" s="178"/>
      <c r="F185" s="103"/>
      <c r="G185" s="51"/>
      <c r="H185" s="52"/>
      <c r="I185" s="53"/>
      <c r="J185" s="99"/>
      <c r="K185" s="153"/>
      <c r="L185" s="60"/>
      <c r="M185" s="58"/>
      <c r="N185" s="58"/>
      <c r="O185" s="61"/>
      <c r="P185" s="61"/>
      <c r="Q185" s="62"/>
      <c r="R185" s="155"/>
      <c r="S185" s="131"/>
      <c r="T185" s="130"/>
    </row>
    <row r="186" spans="1:20" s="7" customFormat="1" x14ac:dyDescent="0.25">
      <c r="A186" s="152" t="str">
        <f>IF(J186&lt;&gt;"",1+MAX($A$18:A184),"")</f>
        <v/>
      </c>
      <c r="B186" s="50"/>
      <c r="C186" s="63"/>
      <c r="D186" s="100"/>
      <c r="E186" s="178"/>
      <c r="F186" s="172" t="s">
        <v>719</v>
      </c>
      <c r="G186" s="51"/>
      <c r="H186" s="52"/>
      <c r="I186" s="53"/>
      <c r="J186" s="99"/>
      <c r="K186" s="153"/>
      <c r="L186" s="60"/>
      <c r="M186" s="58"/>
      <c r="N186" s="58"/>
      <c r="O186" s="61"/>
      <c r="P186" s="61"/>
      <c r="Q186" s="62"/>
      <c r="R186" s="155"/>
      <c r="S186" s="131"/>
      <c r="T186" s="130"/>
    </row>
    <row r="187" spans="1:20" s="7" customFormat="1" ht="31.2" x14ac:dyDescent="0.25">
      <c r="A187" s="152">
        <f>IF(J187&lt;&gt;"",1+MAX($A$18:A186),"")</f>
        <v>88</v>
      </c>
      <c r="B187" s="50"/>
      <c r="C187" s="50"/>
      <c r="D187" s="100" t="s">
        <v>35</v>
      </c>
      <c r="E187" s="178" t="s">
        <v>104</v>
      </c>
      <c r="F187" s="175" t="s">
        <v>760</v>
      </c>
      <c r="G187" s="51">
        <f>370*8</f>
        <v>2960</v>
      </c>
      <c r="H187" s="52">
        <f>IF(VLOOKUP(J187,'HOURLY RATES'!B$116:C$124,2,0)=0,$J$3,VLOOKUP(J187,'HOURLY RATES'!B$116:C$124,2,0))</f>
        <v>0.05</v>
      </c>
      <c r="I187" s="53">
        <f t="shared" ref="I187:I191" si="201">(G187*(1+H187))</f>
        <v>3108</v>
      </c>
      <c r="J187" s="99" t="s">
        <v>226</v>
      </c>
      <c r="K187" s="153">
        <v>1.7999999999999999E-2</v>
      </c>
      <c r="L187" s="60">
        <f t="shared" ref="L187" si="202">K187*I187</f>
        <v>55.943999999999996</v>
      </c>
      <c r="M187" s="58">
        <f>IF(VLOOKUP(E187,'HOURLY RATES'!C$6:D$105,2,0)=0,$E$3,VLOOKUP(E187,'HOURLY RATES'!C$6:D$105,2,0))</f>
        <v>54</v>
      </c>
      <c r="N187" s="58">
        <f t="shared" ref="N187" si="203">M187*L187</f>
        <v>3020.9759999999997</v>
      </c>
      <c r="O187" s="61">
        <v>0.8</v>
      </c>
      <c r="P187" s="61">
        <f t="shared" ref="P187:P191" si="204">O187*I187</f>
        <v>2486.4</v>
      </c>
      <c r="Q187" s="62">
        <f t="shared" ref="Q187:Q191" si="205">P187+N187</f>
        <v>5507.3760000000002</v>
      </c>
      <c r="R187" s="155"/>
      <c r="S187" s="131">
        <f>((((N187*(1+$D$7))+(P187*(1+$D$5+$D$6)))*(1+$D$8)))/I187</f>
        <v>2.2149086399999995</v>
      </c>
      <c r="T187" s="130">
        <f t="shared" ref="T187:T191" si="206">S187*I187</f>
        <v>6883.9360531199982</v>
      </c>
    </row>
    <row r="188" spans="1:20" s="7" customFormat="1" x14ac:dyDescent="0.25">
      <c r="A188" s="152"/>
      <c r="B188" s="50"/>
      <c r="C188" s="63"/>
      <c r="D188" s="100"/>
      <c r="E188" s="178"/>
      <c r="F188" s="103"/>
      <c r="G188" s="51"/>
      <c r="H188" s="52"/>
      <c r="I188" s="53"/>
      <c r="J188" s="99"/>
      <c r="K188" s="153"/>
      <c r="L188" s="60"/>
      <c r="M188" s="58"/>
      <c r="N188" s="58"/>
      <c r="O188" s="61"/>
      <c r="P188" s="61"/>
      <c r="Q188" s="62"/>
      <c r="R188" s="155"/>
      <c r="S188" s="131"/>
      <c r="T188" s="130"/>
    </row>
    <row r="189" spans="1:20" s="7" customFormat="1" x14ac:dyDescent="0.25">
      <c r="A189" s="152" t="str">
        <f>IF(J189&lt;&gt;"",1+MAX($A$18:A187),"")</f>
        <v/>
      </c>
      <c r="B189" s="50"/>
      <c r="C189" s="63"/>
      <c r="D189" s="100"/>
      <c r="E189" s="178"/>
      <c r="F189" s="172" t="s">
        <v>223</v>
      </c>
      <c r="G189" s="51"/>
      <c r="H189" s="52"/>
      <c r="I189" s="53"/>
      <c r="J189" s="99"/>
      <c r="K189" s="153"/>
      <c r="L189" s="60"/>
      <c r="M189" s="58"/>
      <c r="N189" s="58"/>
      <c r="O189" s="61"/>
      <c r="P189" s="61"/>
      <c r="Q189" s="62"/>
      <c r="R189" s="155"/>
      <c r="S189" s="131"/>
      <c r="T189" s="130"/>
    </row>
    <row r="190" spans="1:20" s="7" customFormat="1" ht="31.2" x14ac:dyDescent="0.25">
      <c r="A190" s="152">
        <f>IF(J190&lt;&gt;"",1+MAX($A$18:A189),"")</f>
        <v>89</v>
      </c>
      <c r="B190" s="50"/>
      <c r="C190" s="50"/>
      <c r="D190" s="100" t="s">
        <v>35</v>
      </c>
      <c r="E190" s="178" t="s">
        <v>104</v>
      </c>
      <c r="F190" s="175" t="s">
        <v>757</v>
      </c>
      <c r="G190" s="51">
        <f>3363*8</f>
        <v>26904</v>
      </c>
      <c r="H190" s="52">
        <f>IF(VLOOKUP(J190,'HOURLY RATES'!B$116:C$124,2,0)=0,$J$3,VLOOKUP(J190,'HOURLY RATES'!B$116:C$124,2,0))</f>
        <v>0.05</v>
      </c>
      <c r="I190" s="53">
        <f t="shared" si="201"/>
        <v>28249.200000000001</v>
      </c>
      <c r="J190" s="99" t="s">
        <v>224</v>
      </c>
      <c r="K190" s="153">
        <v>0.02</v>
      </c>
      <c r="L190" s="60">
        <f t="shared" ref="L190:L191" si="207">K190*I190</f>
        <v>564.98400000000004</v>
      </c>
      <c r="M190" s="58">
        <f>IF(VLOOKUP(E190,'HOURLY RATES'!C$6:D$105,2,0)=0,$E$3,VLOOKUP(E190,'HOURLY RATES'!C$6:D$105,2,0))</f>
        <v>54</v>
      </c>
      <c r="N190" s="58">
        <f t="shared" ref="N190:N191" si="208">M190*L190</f>
        <v>30509.136000000002</v>
      </c>
      <c r="O190" s="61">
        <v>0.4</v>
      </c>
      <c r="P190" s="61">
        <f t="shared" si="204"/>
        <v>11299.68</v>
      </c>
      <c r="Q190" s="62">
        <f t="shared" si="205"/>
        <v>41808.816000000006</v>
      </c>
      <c r="R190" s="155"/>
      <c r="S190" s="131">
        <f>((((N190*(1+$D$7))+(P190*(1+$D$5+$D$6)))*(1+$D$8)))/I190</f>
        <v>1.8309463199999998</v>
      </c>
      <c r="T190" s="130">
        <f t="shared" si="206"/>
        <v>51722.768782943996</v>
      </c>
    </row>
    <row r="191" spans="1:20" s="7" customFormat="1" ht="31.2" x14ac:dyDescent="0.25">
      <c r="A191" s="152">
        <f>IF(J191&lt;&gt;"",1+MAX($A$18:A190),"")</f>
        <v>90</v>
      </c>
      <c r="B191" s="50"/>
      <c r="C191" s="50"/>
      <c r="D191" s="100" t="s">
        <v>35</v>
      </c>
      <c r="E191" s="178" t="s">
        <v>104</v>
      </c>
      <c r="F191" s="175" t="s">
        <v>759</v>
      </c>
      <c r="G191" s="51">
        <f>464*8</f>
        <v>3712</v>
      </c>
      <c r="H191" s="52">
        <f>IF(VLOOKUP(J191,'HOURLY RATES'!B$116:C$124,2,0)=0,$J$3,VLOOKUP(J191,'HOURLY RATES'!B$116:C$124,2,0))</f>
        <v>0.05</v>
      </c>
      <c r="I191" s="53">
        <f t="shared" si="201"/>
        <v>3897.6000000000004</v>
      </c>
      <c r="J191" s="99" t="s">
        <v>224</v>
      </c>
      <c r="K191" s="153">
        <v>0.02</v>
      </c>
      <c r="L191" s="60">
        <f t="shared" si="207"/>
        <v>77.952000000000012</v>
      </c>
      <c r="M191" s="58">
        <f>IF(VLOOKUP(E191,'HOURLY RATES'!C$6:D$105,2,0)=0,$E$3,VLOOKUP(E191,'HOURLY RATES'!C$6:D$105,2,0))</f>
        <v>54</v>
      </c>
      <c r="N191" s="58">
        <f t="shared" si="208"/>
        <v>4209.4080000000004</v>
      </c>
      <c r="O191" s="61">
        <v>0.4</v>
      </c>
      <c r="P191" s="61">
        <f t="shared" si="204"/>
        <v>1559.0400000000002</v>
      </c>
      <c r="Q191" s="62">
        <f t="shared" si="205"/>
        <v>5768.4480000000003</v>
      </c>
      <c r="R191" s="155"/>
      <c r="S191" s="131">
        <f>((((N191*(1+$D$7))+(P191*(1+$D$5+$D$6)))*(1+$D$8)))/I191</f>
        <v>1.8309463199999998</v>
      </c>
      <c r="T191" s="130">
        <f t="shared" si="206"/>
        <v>7136.2963768319996</v>
      </c>
    </row>
    <row r="192" spans="1:20" s="7" customFormat="1" x14ac:dyDescent="0.25">
      <c r="A192" s="152"/>
      <c r="B192" s="50"/>
      <c r="C192" s="63"/>
      <c r="D192" s="100"/>
      <c r="E192" s="178"/>
      <c r="F192" s="103"/>
      <c r="G192" s="51"/>
      <c r="H192" s="52"/>
      <c r="I192" s="53"/>
      <c r="J192" s="99"/>
      <c r="K192" s="153"/>
      <c r="L192" s="60"/>
      <c r="M192" s="58"/>
      <c r="N192" s="58"/>
      <c r="O192" s="61"/>
      <c r="P192" s="61"/>
      <c r="Q192" s="62"/>
      <c r="R192" s="155"/>
      <c r="S192" s="131"/>
      <c r="T192" s="130"/>
    </row>
    <row r="193" spans="1:22" s="7" customFormat="1" x14ac:dyDescent="0.25">
      <c r="A193" s="152" t="str">
        <f>IF(J193&lt;&gt;"",1+MAX($A$18:A190),"")</f>
        <v/>
      </c>
      <c r="B193" s="50"/>
      <c r="C193" s="63"/>
      <c r="D193" s="100"/>
      <c r="E193" s="178"/>
      <c r="F193" s="172" t="s">
        <v>723</v>
      </c>
      <c r="G193" s="51"/>
      <c r="H193" s="52"/>
      <c r="I193" s="53"/>
      <c r="J193" s="99"/>
      <c r="K193" s="153"/>
      <c r="L193" s="60"/>
      <c r="M193" s="58"/>
      <c r="N193" s="58"/>
      <c r="O193" s="61"/>
      <c r="P193" s="61"/>
      <c r="Q193" s="62"/>
      <c r="R193" s="155"/>
      <c r="S193" s="131"/>
      <c r="T193" s="130"/>
    </row>
    <row r="194" spans="1:22" s="7" customFormat="1" ht="31.2" x14ac:dyDescent="0.25">
      <c r="A194" s="152">
        <f>IF(J194&lt;&gt;"",1+MAX($A$18:A193),"")</f>
        <v>91</v>
      </c>
      <c r="B194" s="50"/>
      <c r="C194" s="50"/>
      <c r="D194" s="100" t="s">
        <v>35</v>
      </c>
      <c r="E194" s="178" t="s">
        <v>104</v>
      </c>
      <c r="F194" s="175" t="s">
        <v>804</v>
      </c>
      <c r="G194" s="51">
        <f>148*8</f>
        <v>1184</v>
      </c>
      <c r="H194" s="52">
        <f>IF(VLOOKUP(J194,'HOURLY RATES'!B$116:C$124,2,0)=0,$J$3,VLOOKUP(J194,'HOURLY RATES'!B$116:C$124,2,0))</f>
        <v>0</v>
      </c>
      <c r="I194" s="53">
        <f t="shared" ref="I194" si="209">(G194*(1+H194))</f>
        <v>1184</v>
      </c>
      <c r="J194" s="99" t="s">
        <v>225</v>
      </c>
      <c r="K194" s="153">
        <v>2.1999999999999999E-2</v>
      </c>
      <c r="L194" s="60">
        <f t="shared" ref="L194:L195" si="210">K194*I194</f>
        <v>26.047999999999998</v>
      </c>
      <c r="M194" s="58">
        <f>IF(VLOOKUP(E194,'HOURLY RATES'!C$6:D$105,2,0)=0,$E$3,VLOOKUP(E194,'HOURLY RATES'!C$6:D$105,2,0))</f>
        <v>54</v>
      </c>
      <c r="N194" s="58">
        <f t="shared" ref="N194:N195" si="211">M194*L194</f>
        <v>1406.5919999999999</v>
      </c>
      <c r="O194" s="61">
        <v>0.4</v>
      </c>
      <c r="P194" s="61">
        <f t="shared" ref="P194:P195" si="212">O194*I194</f>
        <v>473.6</v>
      </c>
      <c r="Q194" s="62">
        <f t="shared" ref="Q194:Q195" si="213">P194+N194</f>
        <v>1880.192</v>
      </c>
      <c r="R194" s="155"/>
      <c r="S194" s="131">
        <f>((((N194*(1+$D$7))+(P194*(1+$D$5+$D$6)))*(1+$D$8)))/I194</f>
        <v>1.9624903199999995</v>
      </c>
      <c r="T194" s="130">
        <f t="shared" ref="T194:T195" si="214">S194*I194</f>
        <v>2323.5885388799993</v>
      </c>
    </row>
    <row r="195" spans="1:22" s="7" customFormat="1" ht="31.2" x14ac:dyDescent="0.25">
      <c r="A195" s="152">
        <f>IF(J195&lt;&gt;"",1+MAX($A$18:A194),"")</f>
        <v>92</v>
      </c>
      <c r="B195" s="50"/>
      <c r="C195" s="50"/>
      <c r="D195" s="100" t="s">
        <v>35</v>
      </c>
      <c r="E195" s="178" t="s">
        <v>104</v>
      </c>
      <c r="F195" s="175" t="s">
        <v>805</v>
      </c>
      <c r="G195" s="51">
        <f>148*8</f>
        <v>1184</v>
      </c>
      <c r="H195" s="52">
        <f>IF(VLOOKUP(J195,'HOURLY RATES'!B$116:C$124,2,0)=0,$J$3,VLOOKUP(J195,'HOURLY RATES'!B$116:C$124,2,0))</f>
        <v>0</v>
      </c>
      <c r="I195" s="53">
        <f t="shared" ref="I195" si="215">(G195*(1+H195))</f>
        <v>1184</v>
      </c>
      <c r="J195" s="99" t="s">
        <v>225</v>
      </c>
      <c r="K195" s="153">
        <v>1.7999999999999999E-2</v>
      </c>
      <c r="L195" s="60">
        <f t="shared" si="210"/>
        <v>21.311999999999998</v>
      </c>
      <c r="M195" s="58">
        <f>IF(VLOOKUP(E195,'HOURLY RATES'!C$6:D$105,2,0)=0,$E$3,VLOOKUP(E195,'HOURLY RATES'!C$6:D$105,2,0))</f>
        <v>54</v>
      </c>
      <c r="N195" s="58">
        <f t="shared" si="211"/>
        <v>1150.848</v>
      </c>
      <c r="O195" s="61">
        <v>0.8</v>
      </c>
      <c r="P195" s="61">
        <f t="shared" si="212"/>
        <v>947.2</v>
      </c>
      <c r="Q195" s="62">
        <f t="shared" si="213"/>
        <v>2098.0479999999998</v>
      </c>
      <c r="R195" s="155"/>
      <c r="S195" s="131">
        <f>((((N195*(1+$D$7))+(P195*(1+$D$5+$D$6)))*(1+$D$8)))/I195</f>
        <v>2.21490864</v>
      </c>
      <c r="T195" s="130">
        <f t="shared" si="214"/>
        <v>2622.4518297599998</v>
      </c>
    </row>
    <row r="196" spans="1:22" s="7" customFormat="1" x14ac:dyDescent="0.25">
      <c r="A196" s="215" t="str">
        <f>IF(J196&lt;&gt;"",1+MAX($A$18:A195),"")</f>
        <v/>
      </c>
      <c r="B196" s="225"/>
      <c r="C196" s="225"/>
      <c r="D196" s="101"/>
      <c r="E196" s="226"/>
      <c r="F196" s="227"/>
      <c r="G196" s="228"/>
      <c r="H196" s="229"/>
      <c r="I196" s="230"/>
      <c r="J196" s="102"/>
      <c r="K196" s="76"/>
      <c r="L196" s="231"/>
      <c r="M196" s="73"/>
      <c r="N196" s="232"/>
      <c r="O196" s="233"/>
      <c r="P196" s="233"/>
      <c r="Q196" s="234"/>
      <c r="R196" s="155"/>
      <c r="S196" s="131"/>
      <c r="T196" s="130"/>
    </row>
    <row r="197" spans="1:22" s="7" customFormat="1" x14ac:dyDescent="0.25">
      <c r="A197" s="304" t="s">
        <v>54</v>
      </c>
      <c r="B197" s="304"/>
      <c r="C197" s="305"/>
      <c r="D197" s="306"/>
      <c r="E197" s="306"/>
      <c r="F197" s="306"/>
      <c r="G197" s="306"/>
      <c r="H197" s="306"/>
      <c r="I197" s="306"/>
      <c r="J197" s="307"/>
      <c r="K197" s="236" t="s">
        <v>228</v>
      </c>
      <c r="L197" s="237">
        <f>SUM(L18:L196)</f>
        <v>7024.5868200370469</v>
      </c>
      <c r="M197" s="235" t="s">
        <v>229</v>
      </c>
      <c r="N197" s="238">
        <f>SUM(N18:N196)</f>
        <v>379327.68828200048</v>
      </c>
      <c r="O197" s="235" t="s">
        <v>230</v>
      </c>
      <c r="P197" s="238">
        <f>SUM(P18:P196)</f>
        <v>151269.77369999999</v>
      </c>
      <c r="Q197" s="239">
        <f>SUM(Q18:Q196)</f>
        <v>530597.4619820005</v>
      </c>
      <c r="R197" s="239">
        <f>SUM(R18:R196)</f>
        <v>530597.4619820005</v>
      </c>
      <c r="S197" s="132"/>
      <c r="T197" s="133">
        <f>SUM(T18:T196)</f>
        <v>656972.43524577597</v>
      </c>
      <c r="U197" s="1"/>
      <c r="V197" s="1"/>
    </row>
    <row r="198" spans="1:22" s="7" customFormat="1" ht="16.2" thickBot="1" x14ac:dyDescent="0.3">
      <c r="A198" s="302" t="s">
        <v>55</v>
      </c>
      <c r="B198" s="303"/>
      <c r="C198" s="38"/>
      <c r="D198" s="38"/>
      <c r="E198" s="105"/>
      <c r="F198" s="39"/>
      <c r="G198" s="40"/>
      <c r="H198" s="40"/>
      <c r="I198" s="40"/>
      <c r="J198" s="38"/>
      <c r="K198" s="38"/>
      <c r="L198" s="38"/>
      <c r="M198" s="77">
        <f>D5</f>
        <v>6.9720000000000004E-2</v>
      </c>
      <c r="N198" s="78"/>
      <c r="O198" s="78"/>
      <c r="P198" s="78">
        <f>P197*M198</f>
        <v>10546.528622364</v>
      </c>
      <c r="Q198" s="78">
        <f>P198+N198</f>
        <v>10546.528622364</v>
      </c>
      <c r="R198" s="160">
        <f>Q198</f>
        <v>10546.528622364</v>
      </c>
      <c r="S198" s="132"/>
      <c r="T198" s="132"/>
      <c r="U198" s="1"/>
      <c r="V198" s="1"/>
    </row>
    <row r="199" spans="1:22" s="7" customFormat="1" ht="16.8" thickTop="1" thickBot="1" x14ac:dyDescent="0.3">
      <c r="A199" s="161" t="s">
        <v>231</v>
      </c>
      <c r="B199" s="47"/>
      <c r="C199" s="41"/>
      <c r="D199" s="41"/>
      <c r="E199" s="42"/>
      <c r="F199" s="43"/>
      <c r="G199" s="44"/>
      <c r="H199" s="44"/>
      <c r="I199" s="44"/>
      <c r="J199" s="41"/>
      <c r="K199" s="41"/>
      <c r="L199" s="41"/>
      <c r="M199" s="48">
        <f>D6</f>
        <v>0.2</v>
      </c>
      <c r="N199" s="46"/>
      <c r="O199" s="46"/>
      <c r="P199" s="46">
        <f>P197*M199</f>
        <v>30253.954740000001</v>
      </c>
      <c r="Q199" s="46">
        <f>P199+N199</f>
        <v>30253.954740000001</v>
      </c>
      <c r="R199" s="162">
        <f>Q199</f>
        <v>30253.954740000001</v>
      </c>
      <c r="S199" s="132"/>
      <c r="T199" s="132"/>
      <c r="U199" s="1"/>
      <c r="V199" s="1"/>
    </row>
    <row r="200" spans="1:22" s="7" customFormat="1" ht="16.8" thickTop="1" thickBot="1" x14ac:dyDescent="0.3">
      <c r="A200" s="161" t="s">
        <v>232</v>
      </c>
      <c r="B200" s="47"/>
      <c r="C200" s="41"/>
      <c r="D200" s="41"/>
      <c r="E200" s="42"/>
      <c r="F200" s="43"/>
      <c r="G200" s="44"/>
      <c r="H200" s="44"/>
      <c r="I200" s="44"/>
      <c r="J200" s="41"/>
      <c r="K200" s="41"/>
      <c r="L200" s="41"/>
      <c r="M200" s="48">
        <f>D7</f>
        <v>0.2</v>
      </c>
      <c r="N200" s="46">
        <f>N197*M200</f>
        <v>75865.537656400105</v>
      </c>
      <c r="O200" s="46"/>
      <c r="P200" s="46"/>
      <c r="Q200" s="46">
        <f>P200+N200</f>
        <v>75865.537656400105</v>
      </c>
      <c r="R200" s="162">
        <f>Q200</f>
        <v>75865.537656400105</v>
      </c>
      <c r="S200" s="132"/>
      <c r="T200" s="132"/>
      <c r="U200" s="1"/>
      <c r="V200" s="1"/>
    </row>
    <row r="201" spans="1:22" s="7" customFormat="1" ht="16.8" thickTop="1" thickBot="1" x14ac:dyDescent="0.3">
      <c r="A201" s="300" t="s">
        <v>233</v>
      </c>
      <c r="B201" s="301"/>
      <c r="C201" s="41"/>
      <c r="D201" s="41"/>
      <c r="E201" s="42"/>
      <c r="F201" s="43"/>
      <c r="G201" s="44"/>
      <c r="H201" s="44"/>
      <c r="I201" s="44"/>
      <c r="J201" s="41"/>
      <c r="K201" s="41"/>
      <c r="L201" s="41"/>
      <c r="M201" s="45">
        <f>D8</f>
        <v>1.4999999999999999E-2</v>
      </c>
      <c r="N201" s="46">
        <f>(N197+N198+N199+N200)*M201</f>
        <v>6827.8983890760092</v>
      </c>
      <c r="O201" s="46"/>
      <c r="P201" s="46">
        <f>(P197+P198+P199+P200)*M201</f>
        <v>2881.05385593546</v>
      </c>
      <c r="Q201" s="46">
        <f>P201+N201</f>
        <v>9708.9522450114691</v>
      </c>
      <c r="R201" s="162">
        <f>Q201</f>
        <v>9708.9522450114691</v>
      </c>
      <c r="S201" s="132"/>
      <c r="T201" s="132"/>
      <c r="U201" s="1"/>
      <c r="V201" s="1"/>
    </row>
    <row r="202" spans="1:22" s="7" customFormat="1" ht="16.2" thickTop="1" x14ac:dyDescent="0.25">
      <c r="A202" s="298" t="s">
        <v>56</v>
      </c>
      <c r="B202" s="299"/>
      <c r="C202" s="163"/>
      <c r="D202" s="163"/>
      <c r="E202" s="164"/>
      <c r="F202" s="165"/>
      <c r="G202" s="166"/>
      <c r="H202" s="166"/>
      <c r="I202" s="166"/>
      <c r="J202" s="163"/>
      <c r="K202" s="163"/>
      <c r="L202" s="163"/>
      <c r="M202" s="167"/>
      <c r="N202" s="168">
        <f>SUM(N197:N201)</f>
        <v>462021.1243274766</v>
      </c>
      <c r="O202" s="167"/>
      <c r="P202" s="168">
        <f>SUM(P197:P201)</f>
        <v>194951.31091829948</v>
      </c>
      <c r="Q202" s="168">
        <f>SUM(Q197:Q201)</f>
        <v>656972.43524577608</v>
      </c>
      <c r="R202" s="169">
        <f>SUM(R197:R201)</f>
        <v>656972.43524577608</v>
      </c>
      <c r="S202" s="132"/>
      <c r="T202" s="133">
        <f>T197</f>
        <v>656972.43524577597</v>
      </c>
      <c r="U202" s="1"/>
      <c r="V202" s="1"/>
    </row>
  </sheetData>
  <autoFilter ref="J1:J202" xr:uid="{00000000-0001-0000-0300-000000000000}"/>
  <mergeCells count="8">
    <mergeCell ref="A201:B201"/>
    <mergeCell ref="A202:B202"/>
    <mergeCell ref="A2:R2"/>
    <mergeCell ref="B3:E3"/>
    <mergeCell ref="E16:F16"/>
    <mergeCell ref="A197:B197"/>
    <mergeCell ref="C197:J197"/>
    <mergeCell ref="A198:B198"/>
  </mergeCells>
  <dataValidations disablePrompts="1" count="1">
    <dataValidation type="list" allowBlank="1" showInputMessage="1" showErrorMessage="1" sqref="E63" xr:uid="{BE106BE4-C941-4001-8FA3-26FD18F77049}">
      <formula1>#REF!</formula1>
    </dataValidation>
  </dataValidations>
  <hyperlinks>
    <hyperlink ref="D3:E3" location="'COST SUMMARY'!A1" display="CLICK HERE TO GO BACK TO COST SUMMARY" xr:uid="{A180D96C-AE79-4852-BBA6-9C64A6360F9D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8404C316-98C0-403C-A477-4433AEE6F011}">
          <x14:formula1>
            <xm:f>'HOURLY RATES'!$C$6:$C$105</xm:f>
          </x14:formula1>
          <xm:sqref>E21:E32 E60:E62 E54:E57 E47:E51 E34:E36 E39:E44 E100:E195 E65:E92</xm:sqref>
        </x14:dataValidation>
        <x14:dataValidation type="list" allowBlank="1" showInputMessage="1" showErrorMessage="1" xr:uid="{8CEE928F-043C-49B1-B2BB-813F5E19477E}">
          <x14:formula1>
            <xm:f>'HOURLY RATES'!$B$116:$B$126</xm:f>
          </x14:formula1>
          <xm:sqref>J19:J92 J94:J195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BF57A-4E87-4CAD-817F-A7F3F4215480}">
  <sheetPr>
    <tabColor theme="5" tint="-0.499984740745262"/>
    <pageSetUpPr fitToPage="1"/>
  </sheetPr>
  <dimension ref="A1:V112"/>
  <sheetViews>
    <sheetView zoomScale="40" zoomScaleNormal="40" zoomScaleSheetLayoutView="70" workbookViewId="0">
      <pane ySplit="1" topLeftCell="A2" activePane="bottomLeft" state="frozen"/>
      <selection pane="bottomLeft" activeCell="F27" sqref="F27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Q107</f>
        <v>101027.18395007323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P107*D5</f>
        <v>1945.3132519800001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P107*D6</f>
        <v>5580.3593000000001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N107*D7</f>
        <v>14625.077490014648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1847.6690098810182</v>
      </c>
      <c r="F8" s="185" t="s">
        <v>181</v>
      </c>
      <c r="G8" s="120"/>
      <c r="H8" s="184"/>
      <c r="I8" s="137"/>
      <c r="J8" s="138"/>
      <c r="K8" s="142" t="s">
        <v>828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125025.6030019489</v>
      </c>
      <c r="F9" s="95"/>
      <c r="G9" s="120"/>
      <c r="H9" s="184"/>
      <c r="I9" s="137"/>
      <c r="J9" s="143" t="s">
        <v>183</v>
      </c>
      <c r="K9" s="26">
        <v>5281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5281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8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811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7071.5693340732396</v>
      </c>
      <c r="S18" s="129">
        <f>U18</f>
        <v>93955.614616000006</v>
      </c>
      <c r="T18" s="130"/>
      <c r="U18" s="13">
        <f>SUM(Q67:Q106)</f>
        <v>93955.614616000006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17.399187891851852</v>
      </c>
      <c r="L27" s="60">
        <f t="shared" si="3"/>
        <v>17.399187891851852</v>
      </c>
      <c r="M27" s="58">
        <f>IF(VLOOKUP(E27,'HOURLY RATES'!C$6:D$105,2,0)=0,$E$3,VLOOKUP(E27,'HOURLY RATES'!C$6:D$105,2,0))</f>
        <v>54</v>
      </c>
      <c r="N27" s="58">
        <f t="shared" si="4"/>
        <v>939.55614616000003</v>
      </c>
      <c r="O27" s="61"/>
      <c r="P27" s="61">
        <f t="shared" si="0"/>
        <v>0</v>
      </c>
      <c r="Q27" s="62">
        <f t="shared" si="5"/>
        <v>939.55614616000003</v>
      </c>
      <c r="R27" s="151"/>
      <c r="S27" s="131">
        <f t="shared" si="1"/>
        <v>1144.3793860228798</v>
      </c>
      <c r="T27" s="130">
        <f t="shared" si="6"/>
        <v>1144.3793860228798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10.021932225706667</v>
      </c>
      <c r="L34" s="60">
        <f t="shared" ref="L34:L36" si="8">K34*I34</f>
        <v>10.021932225706667</v>
      </c>
      <c r="M34" s="58">
        <f>IF(VLOOKUP(E34,'HOURLY RATES'!C$6:D$105,2,0)=0,$E$3,VLOOKUP(E34,'HOURLY RATES'!C$6:D$105,2,0))</f>
        <v>54</v>
      </c>
      <c r="N34" s="58">
        <f t="shared" ref="N34:N36" si="9">M34*L34</f>
        <v>541.18434018816004</v>
      </c>
      <c r="O34" s="61"/>
      <c r="P34" s="61">
        <f t="shared" ref="P34:P36" si="10">O34*I34</f>
        <v>0</v>
      </c>
      <c r="Q34" s="62">
        <f t="shared" ref="Q34:Q36" si="11">P34+N34</f>
        <v>541.18434018816004</v>
      </c>
      <c r="R34" s="151"/>
      <c r="S34" s="131">
        <f>((((N34*(1+$D$7))+(P34*(1+$D$5+$D$6)))*(1+$D$8)))/I34</f>
        <v>659.16252634917885</v>
      </c>
      <c r="T34" s="130">
        <f t="shared" ref="T34:T36" si="12">S34*I34</f>
        <v>659.16252634917885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20.017765669575557</v>
      </c>
      <c r="L36" s="60">
        <f t="shared" si="8"/>
        <v>20.017765669575557</v>
      </c>
      <c r="M36" s="58">
        <f>IF(VLOOKUP(E36,'HOURLY RATES'!C$6:D$105,2,0)=0,$E$3,VLOOKUP(E36,'HOURLY RATES'!C$6:D$105,2,0))</f>
        <v>54</v>
      </c>
      <c r="N36" s="58">
        <f t="shared" si="9"/>
        <v>1080.9593461570801</v>
      </c>
      <c r="O36" s="61"/>
      <c r="P36" s="61">
        <f t="shared" si="10"/>
        <v>0</v>
      </c>
      <c r="Q36" s="62">
        <f t="shared" si="11"/>
        <v>1080.9593461570801</v>
      </c>
      <c r="R36" s="151"/>
      <c r="S36" s="131">
        <f>((((N36*(1+$D$7))+(P36*(1+$D$5+$D$6)))*(1+$D$8)))/I36</f>
        <v>1316.6084836193234</v>
      </c>
      <c r="T36" s="130">
        <f t="shared" si="12"/>
        <v>1316.6084836193234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38.278213362074077</v>
      </c>
      <c r="L44" s="60">
        <f t="shared" si="14"/>
        <v>38.278213362074077</v>
      </c>
      <c r="M44" s="58">
        <f>IF(VLOOKUP(E44,'HOURLY RATES'!C$6:D$105,2,0)=0,$E$3,VLOOKUP(E44,'HOURLY RATES'!C$6:D$105,2,0))</f>
        <v>54</v>
      </c>
      <c r="N44" s="58">
        <f t="shared" si="15"/>
        <v>2067.0235215520001</v>
      </c>
      <c r="O44" s="61"/>
      <c r="P44" s="61">
        <f t="shared" si="16"/>
        <v>0</v>
      </c>
      <c r="Q44" s="62">
        <f t="shared" si="5"/>
        <v>2067.0235215520001</v>
      </c>
      <c r="R44" s="151"/>
      <c r="S44" s="131">
        <f t="shared" si="17"/>
        <v>2517.6346492503362</v>
      </c>
      <c r="T44" s="130">
        <f t="shared" si="18"/>
        <v>2517.6346492503362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45.23788851881482</v>
      </c>
      <c r="L65" s="60">
        <f t="shared" ref="L65" si="34">K65*I65</f>
        <v>45.23788851881482</v>
      </c>
      <c r="M65" s="58">
        <f>IF(VLOOKUP(E65,'HOURLY RATES'!C$6:D$105,2,0)=0,$E$3,VLOOKUP(E65,'HOURLY RATES'!C$6:D$105,2,0))</f>
        <v>54</v>
      </c>
      <c r="N65" s="58">
        <f t="shared" ref="N65" si="35">M65*L65</f>
        <v>2442.8459800160003</v>
      </c>
      <c r="O65" s="61"/>
      <c r="P65" s="61">
        <f t="shared" ref="P65" si="36">O65*I65</f>
        <v>0</v>
      </c>
      <c r="Q65" s="62">
        <f t="shared" ref="Q65" si="37">P65+N65</f>
        <v>2442.8459800160003</v>
      </c>
      <c r="R65" s="151"/>
      <c r="S65" s="131">
        <f>((((N65*(1+$D$7))+(P65*(1+$D$5+$D$6)))*(1+$D$8)))/I65</f>
        <v>2975.3864036594882</v>
      </c>
      <c r="T65" s="130">
        <f>S65*I65</f>
        <v>2975.3864036594882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SUM(Q68:Q105)</f>
        <v>93955.614616000006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749</v>
      </c>
      <c r="G72" s="51">
        <v>3349</v>
      </c>
      <c r="H72" s="52">
        <f>IF(VLOOKUP(J72,'HOURLY RATES'!B$116:C$124,2,0)=0,$J$3,VLOOKUP(J72,'HOURLY RATES'!B$116:C$124,2,0))</f>
        <v>0.05</v>
      </c>
      <c r="I72" s="53">
        <f t="shared" ref="I72" si="38">(G72*(1+H72))</f>
        <v>3516.4500000000003</v>
      </c>
      <c r="J72" s="99" t="s">
        <v>224</v>
      </c>
      <c r="K72" s="153">
        <v>2.1999999999999999E-2</v>
      </c>
      <c r="L72" s="60">
        <f t="shared" ref="L72" si="39">K72*I72</f>
        <v>77.361900000000006</v>
      </c>
      <c r="M72" s="58">
        <f>IF(VLOOKUP(E72,'HOURLY RATES'!C$6:D$105,2,0)=0,$E$3,VLOOKUP(E72,'HOURLY RATES'!C$6:D$105,2,0))</f>
        <v>54</v>
      </c>
      <c r="N72" s="58">
        <f t="shared" ref="N72" si="40">M72*L72</f>
        <v>4177.5426000000007</v>
      </c>
      <c r="O72" s="61">
        <v>0.4</v>
      </c>
      <c r="P72" s="61">
        <f t="shared" ref="P72" si="41">O72*I72</f>
        <v>1406.5800000000002</v>
      </c>
      <c r="Q72" s="62">
        <f t="shared" ref="Q72" si="42">P72+N72</f>
        <v>5584.1226000000006</v>
      </c>
      <c r="R72" s="155"/>
      <c r="S72" s="131">
        <f t="shared" ref="S72" si="43">((((N72*(1+$D$7))+(P72*(1+$D$5+$D$6)))*(1+$D$8)))/I72</f>
        <v>1.9624903199999999</v>
      </c>
      <c r="T72" s="130">
        <f t="shared" ref="T72" si="44">S72*I72</f>
        <v>6900.9990857640005</v>
      </c>
    </row>
    <row r="73" spans="1:20" s="7" customFormat="1" x14ac:dyDescent="0.25">
      <c r="A73" s="152" t="str">
        <f>IF(J73&lt;&gt;"",1+MAX($A$18:A71),"")</f>
        <v/>
      </c>
      <c r="B73" s="50"/>
      <c r="C73" s="63"/>
      <c r="D73" s="100"/>
      <c r="E73" s="178"/>
      <c r="F73" s="103" t="s">
        <v>222</v>
      </c>
      <c r="G73" s="51"/>
      <c r="H73" s="52"/>
      <c r="I73" s="53"/>
      <c r="J73" s="99"/>
      <c r="K73" s="153"/>
      <c r="L73" s="60"/>
      <c r="M73" s="58"/>
      <c r="N73" s="58"/>
      <c r="O73" s="61"/>
      <c r="P73" s="61"/>
      <c r="Q73" s="62"/>
      <c r="R73" s="155"/>
      <c r="S73" s="131"/>
      <c r="T73" s="130"/>
    </row>
    <row r="74" spans="1:20" s="7" customFormat="1" x14ac:dyDescent="0.25">
      <c r="A74" s="152" t="str">
        <f>IF(J74&lt;&gt;"",1+MAX($A$18:A73),"")</f>
        <v/>
      </c>
      <c r="B74" s="50"/>
      <c r="C74" s="63"/>
      <c r="D74" s="100"/>
      <c r="E74" s="178"/>
      <c r="F74" s="172" t="s">
        <v>223</v>
      </c>
      <c r="G74" s="51"/>
      <c r="H74" s="52"/>
      <c r="I74" s="53"/>
      <c r="J74" s="99"/>
      <c r="K74" s="153"/>
      <c r="L74" s="60"/>
      <c r="M74" s="58"/>
      <c r="N74" s="58"/>
      <c r="O74" s="61"/>
      <c r="P74" s="61"/>
      <c r="Q74" s="62"/>
      <c r="R74" s="155"/>
      <c r="S74" s="131"/>
      <c r="T74" s="130"/>
    </row>
    <row r="75" spans="1:20" s="7" customFormat="1" ht="31.2" x14ac:dyDescent="0.25">
      <c r="A75" s="152">
        <f>IF(J75&lt;&gt;"",1+MAX($A$18:A74),"")</f>
        <v>35</v>
      </c>
      <c r="B75" s="50"/>
      <c r="C75" s="50"/>
      <c r="D75" s="100" t="s">
        <v>35</v>
      </c>
      <c r="E75" s="178" t="s">
        <v>104</v>
      </c>
      <c r="F75" s="175" t="s">
        <v>750</v>
      </c>
      <c r="G75" s="51">
        <v>6041</v>
      </c>
      <c r="H75" s="52">
        <f>IF(VLOOKUP(J75,'HOURLY RATES'!B$116:C$124,2,0)=0,$J$3,VLOOKUP(J75,'HOURLY RATES'!B$116:C$124,2,0))</f>
        <v>0.05</v>
      </c>
      <c r="I75" s="53">
        <f t="shared" ref="I75" si="45">(G75*(1+H75))</f>
        <v>6343.05</v>
      </c>
      <c r="J75" s="99" t="s">
        <v>224</v>
      </c>
      <c r="K75" s="153">
        <v>0.02</v>
      </c>
      <c r="L75" s="60">
        <f t="shared" ref="L75" si="46">K75*I75</f>
        <v>126.861</v>
      </c>
      <c r="M75" s="58">
        <f>IF(VLOOKUP(E75,'HOURLY RATES'!C$6:D$105,2,0)=0,$E$3,VLOOKUP(E75,'HOURLY RATES'!C$6:D$105,2,0))</f>
        <v>54</v>
      </c>
      <c r="N75" s="58">
        <f t="shared" ref="N75" si="47">M75*L75</f>
        <v>6850.4940000000006</v>
      </c>
      <c r="O75" s="61">
        <v>0.4</v>
      </c>
      <c r="P75" s="61">
        <f t="shared" ref="P75" si="48">O75*I75</f>
        <v>2537.2200000000003</v>
      </c>
      <c r="Q75" s="62">
        <f t="shared" ref="Q75" si="49">P75+N75</f>
        <v>9387.7139999999999</v>
      </c>
      <c r="R75" s="155"/>
      <c r="S75" s="131">
        <f t="shared" ref="S75" si="50">((((N75*(1+$D$7))+(P75*(1+$D$5+$D$6)))*(1+$D$8)))/I75</f>
        <v>1.8309463199999998</v>
      </c>
      <c r="T75" s="130">
        <f t="shared" ref="T75" si="51">S75*I75</f>
        <v>11613.784055075999</v>
      </c>
    </row>
    <row r="76" spans="1:20" s="7" customFormat="1" x14ac:dyDescent="0.25">
      <c r="A76" s="152"/>
      <c r="B76" s="50"/>
      <c r="C76" s="63"/>
      <c r="D76" s="100"/>
      <c r="E76" s="178"/>
      <c r="F76" s="103"/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x14ac:dyDescent="0.25">
      <c r="A77" s="152" t="str">
        <f>IF(J77&lt;&gt;"",1+MAX($A$18:A75),"")</f>
        <v/>
      </c>
      <c r="B77" s="50"/>
      <c r="C77" s="63"/>
      <c r="D77" s="100"/>
      <c r="E77" s="178"/>
      <c r="F77" s="172" t="s">
        <v>227</v>
      </c>
      <c r="G77" s="51"/>
      <c r="H77" s="52"/>
      <c r="I77" s="53"/>
      <c r="J77" s="99"/>
      <c r="K77" s="153"/>
      <c r="L77" s="60"/>
      <c r="M77" s="58"/>
      <c r="N77" s="58"/>
      <c r="O77" s="61"/>
      <c r="P77" s="61"/>
      <c r="Q77" s="62"/>
      <c r="R77" s="155"/>
      <c r="S77" s="131"/>
      <c r="T77" s="130"/>
    </row>
    <row r="78" spans="1:20" s="7" customFormat="1" x14ac:dyDescent="0.25">
      <c r="A78" s="152">
        <f>IF(J78&lt;&gt;"",1+MAX($A$18:A77),"")</f>
        <v>36</v>
      </c>
      <c r="B78" s="50"/>
      <c r="C78" s="50"/>
      <c r="D78" s="100" t="s">
        <v>35</v>
      </c>
      <c r="E78" s="178" t="s">
        <v>104</v>
      </c>
      <c r="F78" s="175" t="s">
        <v>748</v>
      </c>
      <c r="G78" s="51">
        <v>29.42</v>
      </c>
      <c r="H78" s="52">
        <f>IF(VLOOKUP(J78,'HOURLY RATES'!B$116:C$124,2,0)=0,$J$3,VLOOKUP(J78,'HOURLY RATES'!B$116:C$124,2,0))</f>
        <v>0.05</v>
      </c>
      <c r="I78" s="53">
        <f t="shared" ref="I78" si="52">(G78*(1+H78))</f>
        <v>30.891000000000002</v>
      </c>
      <c r="J78" s="99" t="s">
        <v>226</v>
      </c>
      <c r="K78" s="153">
        <v>4.3999999999999997E-2</v>
      </c>
      <c r="L78" s="60">
        <f t="shared" ref="L78" si="53">K78*I78</f>
        <v>1.3592040000000001</v>
      </c>
      <c r="M78" s="58">
        <f>IF(VLOOKUP(E78,'HOURLY RATES'!C$6:D$105,2,0)=0,$E$3,VLOOKUP(E78,'HOURLY RATES'!C$6:D$105,2,0))</f>
        <v>54</v>
      </c>
      <c r="N78" s="58">
        <f t="shared" ref="N78" si="54">M78*L78</f>
        <v>73.397016000000008</v>
      </c>
      <c r="O78" s="61">
        <v>1.5</v>
      </c>
      <c r="P78" s="61">
        <f t="shared" ref="P78" si="55">O78*I78</f>
        <v>46.336500000000001</v>
      </c>
      <c r="Q78" s="62">
        <f t="shared" ref="Q78" si="56">P78+N78</f>
        <v>119.73351600000001</v>
      </c>
      <c r="R78" s="155"/>
      <c r="S78" s="131">
        <f>((((N78*(1+$D$7))+(P78*(1+$D$5+$D$6)))*(1+$D$8)))/I78</f>
        <v>4.8271166999999995</v>
      </c>
      <c r="T78" s="130">
        <f t="shared" ref="T78" si="57">S78*I78</f>
        <v>149.1144619797</v>
      </c>
    </row>
    <row r="79" spans="1:20" s="7" customFormat="1" x14ac:dyDescent="0.25">
      <c r="A79" s="152"/>
      <c r="B79" s="50"/>
      <c r="C79" s="63"/>
      <c r="D79" s="100"/>
      <c r="E79" s="178"/>
      <c r="F79" s="103"/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x14ac:dyDescent="0.25">
      <c r="A80" s="152" t="str">
        <f>IF(J80&lt;&gt;"",1+MAX($A$18:A77),"")</f>
        <v/>
      </c>
      <c r="B80" s="50"/>
      <c r="C80" s="63"/>
      <c r="D80" s="100"/>
      <c r="E80" s="178"/>
      <c r="F80" s="172" t="s">
        <v>723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0" s="7" customFormat="1" ht="31.2" x14ac:dyDescent="0.25">
      <c r="A81" s="152">
        <f>IF(J81&lt;&gt;"",1+MAX($A$18:A80),"")</f>
        <v>37</v>
      </c>
      <c r="B81" s="50"/>
      <c r="C81" s="50"/>
      <c r="D81" s="100" t="s">
        <v>35</v>
      </c>
      <c r="E81" s="178" t="s">
        <v>104</v>
      </c>
      <c r="F81" s="175" t="s">
        <v>804</v>
      </c>
      <c r="G81" s="51">
        <v>7</v>
      </c>
      <c r="H81" s="52">
        <f>IF(VLOOKUP(J81,'HOURLY RATES'!B$116:C$124,2,0)=0,$J$3,VLOOKUP(J81,'HOURLY RATES'!B$116:C$124,2,0))</f>
        <v>0</v>
      </c>
      <c r="I81" s="53">
        <f t="shared" ref="I81:I83" si="58">(G81*(1+H81))</f>
        <v>7</v>
      </c>
      <c r="J81" s="99" t="s">
        <v>225</v>
      </c>
      <c r="K81" s="153">
        <v>1.23</v>
      </c>
      <c r="L81" s="60">
        <f t="shared" ref="L81:L83" si="59">K81*I81</f>
        <v>8.61</v>
      </c>
      <c r="M81" s="58">
        <f>IF(VLOOKUP(E81,'HOURLY RATES'!C$6:D$105,2,0)=0,$E$3,VLOOKUP(E81,'HOURLY RATES'!C$6:D$105,2,0))</f>
        <v>54</v>
      </c>
      <c r="N81" s="58">
        <f t="shared" ref="N81:N83" si="60">M81*L81</f>
        <v>464.93999999999994</v>
      </c>
      <c r="O81" s="61">
        <v>28</v>
      </c>
      <c r="P81" s="61">
        <f t="shared" ref="P81:P83" si="61">O81*I81</f>
        <v>196</v>
      </c>
      <c r="Q81" s="62">
        <f t="shared" ref="Q81:Q83" si="62">P81+N81</f>
        <v>660.93999999999994</v>
      </c>
      <c r="R81" s="155"/>
      <c r="S81" s="131">
        <f>((((N81*(1+$D$7))+(P81*(1+$D$5+$D$6)))*(1+$D$8)))/I81</f>
        <v>116.98500239999997</v>
      </c>
      <c r="T81" s="130">
        <f t="shared" ref="T81:T83" si="63">S81*I81</f>
        <v>818.89501679999978</v>
      </c>
    </row>
    <row r="82" spans="1:20" s="7" customFormat="1" ht="31.2" x14ac:dyDescent="0.25">
      <c r="A82" s="152">
        <f>IF(J82&lt;&gt;"",1+MAX($A$18:A81),"")</f>
        <v>38</v>
      </c>
      <c r="B82" s="50"/>
      <c r="C82" s="50"/>
      <c r="D82" s="100" t="s">
        <v>35</v>
      </c>
      <c r="E82" s="178" t="s">
        <v>104</v>
      </c>
      <c r="F82" s="175" t="s">
        <v>805</v>
      </c>
      <c r="G82" s="51">
        <f>G83/2</f>
        <v>166.5</v>
      </c>
      <c r="H82" s="52">
        <f>IF(VLOOKUP(J82,'HOURLY RATES'!B$116:C$124,2,0)=0,$J$3,VLOOKUP(J82,'HOURLY RATES'!B$116:C$124,2,0))</f>
        <v>0.05</v>
      </c>
      <c r="I82" s="53">
        <f t="shared" si="58"/>
        <v>174.82500000000002</v>
      </c>
      <c r="J82" s="99" t="s">
        <v>226</v>
      </c>
      <c r="K82" s="153">
        <v>1.7999999999999999E-2</v>
      </c>
      <c r="L82" s="60">
        <f t="shared" si="59"/>
        <v>3.1468500000000001</v>
      </c>
      <c r="M82" s="58">
        <f>IF(VLOOKUP(E82,'HOURLY RATES'!C$6:D$105,2,0)=0,$E$3,VLOOKUP(E82,'HOURLY RATES'!C$6:D$105,2,0))</f>
        <v>54</v>
      </c>
      <c r="N82" s="58">
        <f t="shared" si="60"/>
        <v>169.9299</v>
      </c>
      <c r="O82" s="61">
        <v>0.8</v>
      </c>
      <c r="P82" s="61">
        <f t="shared" si="61"/>
        <v>139.86000000000001</v>
      </c>
      <c r="Q82" s="62">
        <f t="shared" si="62"/>
        <v>309.78989999999999</v>
      </c>
      <c r="R82" s="155"/>
      <c r="S82" s="131">
        <f>((((N82*(1+$D$7))+(P82*(1+$D$5+$D$6)))*(1+$D$8)))/I82</f>
        <v>2.2149086399999995</v>
      </c>
      <c r="T82" s="130">
        <f t="shared" si="63"/>
        <v>387.22140298799997</v>
      </c>
    </row>
    <row r="83" spans="1:20" s="7" customFormat="1" ht="31.2" x14ac:dyDescent="0.25">
      <c r="A83" s="152">
        <f>IF(J83&lt;&gt;"",1+MAX($A$18:A82),"")</f>
        <v>39</v>
      </c>
      <c r="B83" s="50"/>
      <c r="C83" s="50"/>
      <c r="D83" s="100" t="s">
        <v>35</v>
      </c>
      <c r="E83" s="178" t="s">
        <v>104</v>
      </c>
      <c r="F83" s="175" t="s">
        <v>806</v>
      </c>
      <c r="G83" s="51">
        <v>333</v>
      </c>
      <c r="H83" s="52">
        <f>IF(VLOOKUP(J83,'HOURLY RATES'!B$116:C$124,2,0)=0,$J$3,VLOOKUP(J83,'HOURLY RATES'!B$116:C$124,2,0))</f>
        <v>0.05</v>
      </c>
      <c r="I83" s="53">
        <f t="shared" si="58"/>
        <v>349.65000000000003</v>
      </c>
      <c r="J83" s="99" t="s">
        <v>226</v>
      </c>
      <c r="K83" s="153">
        <v>1.7999999999999999E-2</v>
      </c>
      <c r="L83" s="60">
        <f t="shared" si="59"/>
        <v>6.2937000000000003</v>
      </c>
      <c r="M83" s="58">
        <f>IF(VLOOKUP(E83,'HOURLY RATES'!C$6:D$105,2,0)=0,$E$3,VLOOKUP(E83,'HOURLY RATES'!C$6:D$105,2,0))</f>
        <v>54</v>
      </c>
      <c r="N83" s="58">
        <f t="shared" si="60"/>
        <v>339.85980000000001</v>
      </c>
      <c r="O83" s="61">
        <v>0.8</v>
      </c>
      <c r="P83" s="61">
        <f t="shared" si="61"/>
        <v>279.72000000000003</v>
      </c>
      <c r="Q83" s="62">
        <f t="shared" si="62"/>
        <v>619.57979999999998</v>
      </c>
      <c r="R83" s="155"/>
      <c r="S83" s="131">
        <f>((((N83*(1+$D$7))+(P83*(1+$D$5+$D$6)))*(1+$D$8)))/I83</f>
        <v>2.2149086399999995</v>
      </c>
      <c r="T83" s="130">
        <f t="shared" si="63"/>
        <v>774.44280597599993</v>
      </c>
    </row>
    <row r="84" spans="1:20" s="7" customFormat="1" x14ac:dyDescent="0.25">
      <c r="A84" s="152"/>
      <c r="B84" s="50"/>
      <c r="C84" s="63"/>
      <c r="D84" s="100"/>
      <c r="E84" s="178"/>
      <c r="F84" s="103"/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 t="str">
        <f>IF(J85&lt;&gt;"",1+MAX($A$18:A84),"")</f>
        <v/>
      </c>
      <c r="B85" s="109"/>
      <c r="C85" s="110"/>
      <c r="D85" s="100"/>
      <c r="E85" s="179"/>
      <c r="F85" s="172" t="s">
        <v>725</v>
      </c>
      <c r="G85" s="112"/>
      <c r="H85" s="113"/>
      <c r="I85" s="114"/>
      <c r="J85" s="99"/>
      <c r="K85" s="153"/>
      <c r="L85" s="156"/>
      <c r="M85" s="157"/>
      <c r="N85" s="157"/>
      <c r="O85" s="158"/>
      <c r="P85" s="158"/>
      <c r="Q85" s="159"/>
      <c r="R85" s="155"/>
      <c r="S85" s="131"/>
      <c r="T85" s="130"/>
    </row>
    <row r="86" spans="1:20" s="7" customFormat="1" ht="46.8" x14ac:dyDescent="0.25">
      <c r="A86" s="152">
        <f>IF(J86&lt;&gt;"",1+MAX($A$18:A84),"")</f>
        <v>40</v>
      </c>
      <c r="B86" s="109"/>
      <c r="C86" s="109"/>
      <c r="D86" s="100" t="s">
        <v>35</v>
      </c>
      <c r="E86" s="179" t="s">
        <v>86</v>
      </c>
      <c r="F86" s="176" t="s">
        <v>815</v>
      </c>
      <c r="G86" s="112">
        <v>3315</v>
      </c>
      <c r="H86" s="113">
        <v>0.05</v>
      </c>
      <c r="I86" s="114">
        <f t="shared" ref="I86:I89" si="64">(G86*(1+H86))</f>
        <v>3480.75</v>
      </c>
      <c r="J86" s="99" t="s">
        <v>224</v>
      </c>
      <c r="K86" s="153">
        <v>0.02</v>
      </c>
      <c r="L86" s="156">
        <f t="shared" ref="L86:L89" si="65">K86*I86</f>
        <v>69.614999999999995</v>
      </c>
      <c r="M86" s="58">
        <f>IF(VLOOKUP(E86,'HOURLY RATES'!C$6:D$105,2,0)=0,$E$3,VLOOKUP(E86,'HOURLY RATES'!C$6:D$105,2,0))</f>
        <v>54</v>
      </c>
      <c r="N86" s="157">
        <f t="shared" ref="N86:N89" si="66">M86*L86</f>
        <v>3759.2099999999996</v>
      </c>
      <c r="O86" s="158">
        <v>0.8</v>
      </c>
      <c r="P86" s="158">
        <f t="shared" ref="P86:P89" si="67">O86*I86</f>
        <v>2784.6000000000004</v>
      </c>
      <c r="Q86" s="159">
        <f t="shared" ref="Q86:Q89" si="68">P86+N86</f>
        <v>6543.8099999999995</v>
      </c>
      <c r="R86" s="155"/>
      <c r="S86" s="131">
        <f>((((N86*(1+$D$7))+(P86*(1+$D$5+$D$6)))*(1+$D$8)))/I86</f>
        <v>2.3464526399999999</v>
      </c>
      <c r="T86" s="130">
        <f t="shared" ref="T86:T89" si="69">S86*I86</f>
        <v>8167.4150266799998</v>
      </c>
    </row>
    <row r="87" spans="1:20" s="7" customFormat="1" ht="46.8" x14ac:dyDescent="0.25">
      <c r="A87" s="152">
        <f>IF(J87&lt;&gt;"",1+MAX($A$18:A86),"")</f>
        <v>41</v>
      </c>
      <c r="B87" s="109"/>
      <c r="C87" s="109"/>
      <c r="D87" s="100" t="s">
        <v>35</v>
      </c>
      <c r="E87" s="179" t="s">
        <v>86</v>
      </c>
      <c r="F87" s="176" t="s">
        <v>818</v>
      </c>
      <c r="G87" s="112">
        <v>785</v>
      </c>
      <c r="H87" s="113">
        <v>0.05</v>
      </c>
      <c r="I87" s="114">
        <f t="shared" si="64"/>
        <v>824.25</v>
      </c>
      <c r="J87" s="99" t="s">
        <v>224</v>
      </c>
      <c r="K87" s="153">
        <v>0.02</v>
      </c>
      <c r="L87" s="156">
        <f t="shared" si="65"/>
        <v>16.484999999999999</v>
      </c>
      <c r="M87" s="58">
        <f>IF(VLOOKUP(E87,'HOURLY RATES'!C$6:D$105,2,0)=0,$E$3,VLOOKUP(E87,'HOURLY RATES'!C$6:D$105,2,0))</f>
        <v>54</v>
      </c>
      <c r="N87" s="157">
        <f t="shared" si="66"/>
        <v>890.18999999999994</v>
      </c>
      <c r="O87" s="158">
        <v>0.8</v>
      </c>
      <c r="P87" s="158">
        <f t="shared" si="67"/>
        <v>659.40000000000009</v>
      </c>
      <c r="Q87" s="159">
        <f t="shared" si="68"/>
        <v>1549.5900000000001</v>
      </c>
      <c r="R87" s="155"/>
      <c r="S87" s="131">
        <f>((((N87*(1+$D$7))+(P87*(1+$D$5+$D$6)))*(1+$D$8)))/I87</f>
        <v>2.3464526399999999</v>
      </c>
      <c r="T87" s="130">
        <f t="shared" si="69"/>
        <v>1934.0635885199999</v>
      </c>
    </row>
    <row r="88" spans="1:20" s="7" customFormat="1" ht="46.8" x14ac:dyDescent="0.25">
      <c r="A88" s="152">
        <f>IF(J88&lt;&gt;"",1+MAX($A$18:A86),"")</f>
        <v>41</v>
      </c>
      <c r="B88" s="109"/>
      <c r="C88" s="109"/>
      <c r="D88" s="100" t="s">
        <v>35</v>
      </c>
      <c r="E88" s="179" t="s">
        <v>86</v>
      </c>
      <c r="F88" s="176" t="s">
        <v>814</v>
      </c>
      <c r="G88" s="112">
        <v>700</v>
      </c>
      <c r="H88" s="113">
        <v>0.05</v>
      </c>
      <c r="I88" s="114">
        <f t="shared" si="64"/>
        <v>735</v>
      </c>
      <c r="J88" s="99" t="s">
        <v>226</v>
      </c>
      <c r="K88" s="153">
        <v>1.7999999999999999E-2</v>
      </c>
      <c r="L88" s="156">
        <f t="shared" si="65"/>
        <v>13.229999999999999</v>
      </c>
      <c r="M88" s="58">
        <f>IF(VLOOKUP(E88,'HOURLY RATES'!C$6:D$105,2,0)=0,$E$3,VLOOKUP(E88,'HOURLY RATES'!C$6:D$105,2,0))</f>
        <v>54</v>
      </c>
      <c r="N88" s="157">
        <f t="shared" si="66"/>
        <v>714.42</v>
      </c>
      <c r="O88" s="158">
        <v>0.8</v>
      </c>
      <c r="P88" s="158">
        <f t="shared" si="67"/>
        <v>588</v>
      </c>
      <c r="Q88" s="159">
        <f t="shared" si="68"/>
        <v>1302.42</v>
      </c>
      <c r="R88" s="155"/>
      <c r="S88" s="131">
        <f t="shared" ref="S88:S89" si="70">((((N88*(1+$D$7))+(P88*(1+$D$5+$D$6)))*(1+$D$8)))/I88</f>
        <v>2.2149086399999995</v>
      </c>
      <c r="T88" s="130">
        <f t="shared" si="69"/>
        <v>1627.9578503999996</v>
      </c>
    </row>
    <row r="89" spans="1:20" s="7" customFormat="1" ht="46.8" x14ac:dyDescent="0.25">
      <c r="A89" s="152">
        <f>IF(J89&lt;&gt;"",1+MAX($A$18:A86),"")</f>
        <v>41</v>
      </c>
      <c r="B89" s="109"/>
      <c r="C89" s="109"/>
      <c r="D89" s="100" t="s">
        <v>35</v>
      </c>
      <c r="E89" s="179" t="s">
        <v>86</v>
      </c>
      <c r="F89" s="176" t="s">
        <v>781</v>
      </c>
      <c r="G89" s="112">
        <v>258</v>
      </c>
      <c r="H89" s="113">
        <v>0.05</v>
      </c>
      <c r="I89" s="114">
        <f t="shared" si="64"/>
        <v>270.90000000000003</v>
      </c>
      <c r="J89" s="99" t="s">
        <v>226</v>
      </c>
      <c r="K89" s="153">
        <v>1.7999999999999999E-2</v>
      </c>
      <c r="L89" s="156">
        <f t="shared" si="65"/>
        <v>4.8761999999999999</v>
      </c>
      <c r="M89" s="58">
        <f>IF(VLOOKUP(E89,'HOURLY RATES'!C$6:D$105,2,0)=0,$E$3,VLOOKUP(E89,'HOURLY RATES'!C$6:D$105,2,0))</f>
        <v>54</v>
      </c>
      <c r="N89" s="157">
        <f t="shared" si="66"/>
        <v>263.31479999999999</v>
      </c>
      <c r="O89" s="158">
        <v>0.8</v>
      </c>
      <c r="P89" s="158">
        <f t="shared" si="67"/>
        <v>216.72000000000003</v>
      </c>
      <c r="Q89" s="159">
        <f t="shared" si="68"/>
        <v>480.03480000000002</v>
      </c>
      <c r="R89" s="155"/>
      <c r="S89" s="131">
        <f t="shared" si="70"/>
        <v>2.2149086399999995</v>
      </c>
      <c r="T89" s="130">
        <f t="shared" si="69"/>
        <v>600.018750576</v>
      </c>
    </row>
    <row r="90" spans="1:20" s="7" customFormat="1" x14ac:dyDescent="0.25">
      <c r="A90" s="152" t="str">
        <f>IF(J90&lt;&gt;"",1+MAX($A$18:A89),"")</f>
        <v/>
      </c>
      <c r="B90" s="50"/>
      <c r="C90" s="50"/>
      <c r="D90" s="100"/>
      <c r="E90" s="178"/>
      <c r="F90" s="175" t="s">
        <v>222</v>
      </c>
      <c r="G90" s="51"/>
      <c r="H90" s="52"/>
      <c r="I90" s="53"/>
      <c r="J90" s="99"/>
      <c r="K90" s="153"/>
      <c r="L90" s="60"/>
      <c r="M90" s="58"/>
      <c r="N90" s="58"/>
      <c r="O90" s="61"/>
      <c r="P90" s="61"/>
      <c r="Q90" s="62"/>
      <c r="R90" s="155"/>
      <c r="S90" s="131"/>
      <c r="T90" s="130"/>
    </row>
    <row r="91" spans="1:20" s="7" customFormat="1" ht="18" x14ac:dyDescent="0.25">
      <c r="A91" s="152" t="str">
        <f>IF(J91&lt;&gt;"",1+MAX($A$18:A90),"")</f>
        <v/>
      </c>
      <c r="B91" s="50"/>
      <c r="C91" s="63"/>
      <c r="D91" s="100"/>
      <c r="E91" s="178"/>
      <c r="F91" s="173" t="s">
        <v>720</v>
      </c>
      <c r="G91" s="51"/>
      <c r="H91" s="52"/>
      <c r="I91" s="53"/>
      <c r="J91" s="99"/>
      <c r="K91" s="153"/>
      <c r="L91" s="60"/>
      <c r="M91" s="58"/>
      <c r="N91" s="58"/>
      <c r="O91" s="61"/>
      <c r="P91" s="61"/>
      <c r="Q91" s="62"/>
      <c r="R91" s="155"/>
      <c r="S91" s="131"/>
      <c r="T91" s="130"/>
    </row>
    <row r="92" spans="1:20" s="7" customFormat="1" x14ac:dyDescent="0.25">
      <c r="A92" s="152">
        <f>IF(J92&lt;&gt;"",1+MAX($A$18:A91),"")</f>
        <v>42</v>
      </c>
      <c r="B92" s="50"/>
      <c r="C92" s="63"/>
      <c r="D92" s="100"/>
      <c r="E92" s="178"/>
      <c r="F92" s="177" t="s">
        <v>766</v>
      </c>
      <c r="G92" s="108">
        <v>8</v>
      </c>
      <c r="H92" s="52"/>
      <c r="I92" s="53"/>
      <c r="J92" s="99" t="s">
        <v>225</v>
      </c>
      <c r="K92" s="153"/>
      <c r="L92" s="60"/>
      <c r="M92" s="58"/>
      <c r="N92" s="58"/>
      <c r="O92" s="61"/>
      <c r="P92" s="61"/>
      <c r="Q92" s="62"/>
      <c r="R92" s="155"/>
      <c r="S92" s="131"/>
      <c r="T92" s="130"/>
    </row>
    <row r="93" spans="1:20" s="7" customFormat="1" x14ac:dyDescent="0.25">
      <c r="A93" s="152" t="str">
        <f>IF(J93&lt;&gt;"",1+MAX($A$18:A92),"")</f>
        <v/>
      </c>
      <c r="B93" s="50"/>
      <c r="C93" s="63"/>
      <c r="D93" s="100"/>
      <c r="E93" s="178"/>
      <c r="F93" s="172" t="s">
        <v>722</v>
      </c>
      <c r="G93" s="51"/>
      <c r="H93" s="52"/>
      <c r="I93" s="53"/>
      <c r="J93" s="99"/>
      <c r="K93" s="153"/>
      <c r="L93" s="60"/>
      <c r="M93" s="58"/>
      <c r="N93" s="58"/>
      <c r="O93" s="61"/>
      <c r="P93" s="61"/>
      <c r="Q93" s="62"/>
      <c r="R93" s="155"/>
      <c r="S93" s="131"/>
      <c r="T93" s="130"/>
    </row>
    <row r="94" spans="1:20" s="7" customFormat="1" ht="31.2" x14ac:dyDescent="0.25">
      <c r="A94" s="152">
        <f>IF(J94&lt;&gt;"",1+MAX($A$18:A93),"")</f>
        <v>43</v>
      </c>
      <c r="B94" s="50"/>
      <c r="C94" s="50"/>
      <c r="D94" s="100" t="s">
        <v>35</v>
      </c>
      <c r="E94" s="178" t="s">
        <v>104</v>
      </c>
      <c r="F94" s="175" t="s">
        <v>758</v>
      </c>
      <c r="G94" s="51">
        <f>1225*8</f>
        <v>9800</v>
      </c>
      <c r="H94" s="52">
        <f>IF(VLOOKUP(J94,'HOURLY RATES'!B$116:C$124,2,0)=0,$J$3,VLOOKUP(J94,'HOURLY RATES'!B$116:C$124,2,0))</f>
        <v>0.05</v>
      </c>
      <c r="I94" s="53">
        <f t="shared" ref="I94" si="71">(G94*(1+H94))</f>
        <v>10290</v>
      </c>
      <c r="J94" s="99" t="s">
        <v>224</v>
      </c>
      <c r="K94" s="153">
        <v>2.1999999999999999E-2</v>
      </c>
      <c r="L94" s="60">
        <f t="shared" ref="L94" si="72">K94*I94</f>
        <v>226.38</v>
      </c>
      <c r="M94" s="58">
        <f>IF(VLOOKUP(E94,'HOURLY RATES'!C$6:D$105,2,0)=0,$E$3,VLOOKUP(E94,'HOURLY RATES'!C$6:D$105,2,0))</f>
        <v>54</v>
      </c>
      <c r="N94" s="58">
        <f t="shared" ref="N94" si="73">M94*L94</f>
        <v>12224.52</v>
      </c>
      <c r="O94" s="61">
        <v>0.4</v>
      </c>
      <c r="P94" s="61">
        <f t="shared" ref="P94" si="74">O94*I94</f>
        <v>4116</v>
      </c>
      <c r="Q94" s="62">
        <f t="shared" ref="Q94" si="75">P94+N94</f>
        <v>16340.52</v>
      </c>
      <c r="R94" s="155"/>
      <c r="S94" s="131">
        <f>((((N94*(1+$D$7))+(P94*(1+$D$5+$D$6)))*(1+$D$8)))/I94</f>
        <v>1.9624903199999999</v>
      </c>
      <c r="T94" s="130">
        <f t="shared" ref="T94" si="76">S94*I94</f>
        <v>20194.025392799998</v>
      </c>
    </row>
    <row r="95" spans="1:20" s="7" customFormat="1" x14ac:dyDescent="0.25">
      <c r="A95" s="152"/>
      <c r="B95" s="50"/>
      <c r="C95" s="63"/>
      <c r="D95" s="100"/>
      <c r="E95" s="178"/>
      <c r="F95" s="103"/>
      <c r="G95" s="51"/>
      <c r="H95" s="52"/>
      <c r="I95" s="53"/>
      <c r="J95" s="99"/>
      <c r="K95" s="153"/>
      <c r="L95" s="60"/>
      <c r="M95" s="58"/>
      <c r="N95" s="58"/>
      <c r="O95" s="61"/>
      <c r="P95" s="61"/>
      <c r="Q95" s="62"/>
      <c r="R95" s="155"/>
      <c r="S95" s="131"/>
      <c r="T95" s="130"/>
    </row>
    <row r="96" spans="1:20" s="7" customFormat="1" x14ac:dyDescent="0.25">
      <c r="A96" s="152" t="str">
        <f>IF(J96&lt;&gt;"",1+MAX($A$18:A94),"")</f>
        <v/>
      </c>
      <c r="B96" s="50"/>
      <c r="C96" s="63"/>
      <c r="D96" s="100"/>
      <c r="E96" s="178"/>
      <c r="F96" s="172" t="s">
        <v>719</v>
      </c>
      <c r="G96" s="51"/>
      <c r="H96" s="52"/>
      <c r="I96" s="53"/>
      <c r="J96" s="99"/>
      <c r="K96" s="153"/>
      <c r="L96" s="60"/>
      <c r="M96" s="58"/>
      <c r="N96" s="58"/>
      <c r="O96" s="61"/>
      <c r="P96" s="61"/>
      <c r="Q96" s="62"/>
      <c r="R96" s="155"/>
      <c r="S96" s="131"/>
      <c r="T96" s="130"/>
    </row>
    <row r="97" spans="1:22" s="7" customFormat="1" ht="31.2" x14ac:dyDescent="0.25">
      <c r="A97" s="152">
        <f>IF(J97&lt;&gt;"",1+MAX($A$18:A96),"")</f>
        <v>44</v>
      </c>
      <c r="B97" s="50"/>
      <c r="C97" s="50"/>
      <c r="D97" s="100" t="s">
        <v>35</v>
      </c>
      <c r="E97" s="178" t="s">
        <v>104</v>
      </c>
      <c r="F97" s="175" t="s">
        <v>760</v>
      </c>
      <c r="G97" s="51">
        <f>320*8</f>
        <v>2560</v>
      </c>
      <c r="H97" s="52">
        <f>IF(VLOOKUP(J97,'HOURLY RATES'!B$116:C$124,2,0)=0,$J$3,VLOOKUP(J97,'HOURLY RATES'!B$116:C$124,2,0))</f>
        <v>0.05</v>
      </c>
      <c r="I97" s="53">
        <f t="shared" ref="I97:I101" si="77">(G97*(1+H97))</f>
        <v>2688</v>
      </c>
      <c r="J97" s="99" t="s">
        <v>226</v>
      </c>
      <c r="K97" s="153">
        <v>1.7999999999999999E-2</v>
      </c>
      <c r="L97" s="60">
        <f t="shared" ref="L97" si="78">K97*I97</f>
        <v>48.383999999999993</v>
      </c>
      <c r="M97" s="58">
        <f>IF(VLOOKUP(E97,'HOURLY RATES'!C$6:D$105,2,0)=0,$E$3,VLOOKUP(E97,'HOURLY RATES'!C$6:D$105,2,0))</f>
        <v>54</v>
      </c>
      <c r="N97" s="58">
        <f t="shared" ref="N97" si="79">M97*L97</f>
        <v>2612.7359999999994</v>
      </c>
      <c r="O97" s="61">
        <v>0.8</v>
      </c>
      <c r="P97" s="61">
        <f t="shared" ref="P97:P101" si="80">O97*I97</f>
        <v>2150.4</v>
      </c>
      <c r="Q97" s="62">
        <f t="shared" ref="Q97:Q101" si="81">P97+N97</f>
        <v>4763.1359999999995</v>
      </c>
      <c r="R97" s="155"/>
      <c r="S97" s="131">
        <f>((((N97*(1+$D$7))+(P97*(1+$D$5+$D$6)))*(1+$D$8)))/I97</f>
        <v>2.2149086399999995</v>
      </c>
      <c r="T97" s="130">
        <f t="shared" ref="T97:T101" si="82">S97*I97</f>
        <v>5953.6744243199992</v>
      </c>
    </row>
    <row r="98" spans="1:22" s="7" customFormat="1" x14ac:dyDescent="0.25">
      <c r="A98" s="152"/>
      <c r="B98" s="50"/>
      <c r="C98" s="63"/>
      <c r="D98" s="100"/>
      <c r="E98" s="178"/>
      <c r="F98" s="103"/>
      <c r="G98" s="51"/>
      <c r="H98" s="52"/>
      <c r="I98" s="53"/>
      <c r="J98" s="99"/>
      <c r="K98" s="153"/>
      <c r="L98" s="60"/>
      <c r="M98" s="58"/>
      <c r="N98" s="58"/>
      <c r="O98" s="61"/>
      <c r="P98" s="61"/>
      <c r="Q98" s="62"/>
      <c r="R98" s="155"/>
      <c r="S98" s="131"/>
      <c r="T98" s="130"/>
    </row>
    <row r="99" spans="1:22" s="7" customFormat="1" x14ac:dyDescent="0.25">
      <c r="A99" s="152" t="str">
        <f>IF(J99&lt;&gt;"",1+MAX($A$18:A97),"")</f>
        <v/>
      </c>
      <c r="B99" s="50"/>
      <c r="C99" s="63"/>
      <c r="D99" s="100"/>
      <c r="E99" s="178"/>
      <c r="F99" s="172" t="s">
        <v>223</v>
      </c>
      <c r="G99" s="51"/>
      <c r="H99" s="52"/>
      <c r="I99" s="53"/>
      <c r="J99" s="99"/>
      <c r="K99" s="153"/>
      <c r="L99" s="60"/>
      <c r="M99" s="58"/>
      <c r="N99" s="58"/>
      <c r="O99" s="61"/>
      <c r="P99" s="61"/>
      <c r="Q99" s="62"/>
      <c r="R99" s="155"/>
      <c r="S99" s="131"/>
      <c r="T99" s="130"/>
    </row>
    <row r="100" spans="1:22" s="7" customFormat="1" ht="31.2" x14ac:dyDescent="0.25">
      <c r="A100" s="152">
        <f>IF(J100&lt;&gt;"",1+MAX($A$18:A98),"")</f>
        <v>45</v>
      </c>
      <c r="B100" s="50"/>
      <c r="C100" s="50"/>
      <c r="D100" s="100" t="s">
        <v>35</v>
      </c>
      <c r="E100" s="178" t="s">
        <v>104</v>
      </c>
      <c r="F100" s="175" t="s">
        <v>757</v>
      </c>
      <c r="G100" s="51">
        <f>2528*8</f>
        <v>20224</v>
      </c>
      <c r="H100" s="52">
        <f>IF(VLOOKUP(J100,'HOURLY RATES'!B$116:C$124,2,0)=0,$J$3,VLOOKUP(J100,'HOURLY RATES'!B$116:C$124,2,0))</f>
        <v>0.05</v>
      </c>
      <c r="I100" s="53">
        <f t="shared" ref="I100" si="83">(G100*(1+H100))</f>
        <v>21235.200000000001</v>
      </c>
      <c r="J100" s="99" t="s">
        <v>224</v>
      </c>
      <c r="K100" s="153">
        <v>0.02</v>
      </c>
      <c r="L100" s="60">
        <f t="shared" ref="L100:L101" si="84">K100*I100</f>
        <v>424.70400000000001</v>
      </c>
      <c r="M100" s="58">
        <f>IF(VLOOKUP(E100,'HOURLY RATES'!C$6:D$105,2,0)=0,$E$3,VLOOKUP(E100,'HOURLY RATES'!C$6:D$105,2,0))</f>
        <v>54</v>
      </c>
      <c r="N100" s="58">
        <f t="shared" ref="N100:N101" si="85">M100*L100</f>
        <v>22934.016</v>
      </c>
      <c r="O100" s="61">
        <v>0.4</v>
      </c>
      <c r="P100" s="61">
        <f t="shared" ref="P100" si="86">O100*I100</f>
        <v>8494.08</v>
      </c>
      <c r="Q100" s="62">
        <f t="shared" ref="Q100" si="87">P100+N100</f>
        <v>31428.095999999998</v>
      </c>
      <c r="R100" s="155"/>
      <c r="S100" s="131">
        <f>((((N100*(1+$D$7))+(P100*(1+$D$5+$D$6)))*(1+$D$8)))/I100</f>
        <v>1.8309463199999996</v>
      </c>
      <c r="T100" s="130">
        <f t="shared" ref="T100" si="88">S100*I100</f>
        <v>38880.511294463991</v>
      </c>
    </row>
    <row r="101" spans="1:22" s="7" customFormat="1" ht="31.2" x14ac:dyDescent="0.25">
      <c r="A101" s="152">
        <f>IF(J101&lt;&gt;"",1+MAX($A$18:A99),"")</f>
        <v>45</v>
      </c>
      <c r="B101" s="50"/>
      <c r="C101" s="50"/>
      <c r="D101" s="100" t="s">
        <v>35</v>
      </c>
      <c r="E101" s="178" t="s">
        <v>104</v>
      </c>
      <c r="F101" s="175" t="s">
        <v>759</v>
      </c>
      <c r="G101" s="51">
        <f>453*8</f>
        <v>3624</v>
      </c>
      <c r="H101" s="52">
        <f>IF(VLOOKUP(J101,'HOURLY RATES'!B$116:C$124,2,0)=0,$J$3,VLOOKUP(J101,'HOURLY RATES'!B$116:C$124,2,0))</f>
        <v>0.05</v>
      </c>
      <c r="I101" s="53">
        <f t="shared" si="77"/>
        <v>3805.2000000000003</v>
      </c>
      <c r="J101" s="99" t="s">
        <v>224</v>
      </c>
      <c r="K101" s="153">
        <v>0.02</v>
      </c>
      <c r="L101" s="60">
        <f t="shared" si="84"/>
        <v>76.104000000000013</v>
      </c>
      <c r="M101" s="58">
        <f>IF(VLOOKUP(E101,'HOURLY RATES'!C$6:D$105,2,0)=0,$E$3,VLOOKUP(E101,'HOURLY RATES'!C$6:D$105,2,0))</f>
        <v>54</v>
      </c>
      <c r="N101" s="58">
        <f t="shared" si="85"/>
        <v>4109.6160000000009</v>
      </c>
      <c r="O101" s="61">
        <v>0.4</v>
      </c>
      <c r="P101" s="61">
        <f t="shared" si="80"/>
        <v>1522.0800000000002</v>
      </c>
      <c r="Q101" s="62">
        <f t="shared" si="81"/>
        <v>5631.6960000000008</v>
      </c>
      <c r="R101" s="155"/>
      <c r="S101" s="131">
        <f>((((N101*(1+$D$7))+(P101*(1+$D$5+$D$6)))*(1+$D$8)))/I101</f>
        <v>1.83094632</v>
      </c>
      <c r="T101" s="130">
        <f t="shared" si="82"/>
        <v>6967.1169368640003</v>
      </c>
    </row>
    <row r="102" spans="1:22" s="7" customFormat="1" x14ac:dyDescent="0.25">
      <c r="A102" s="152"/>
      <c r="B102" s="50"/>
      <c r="C102" s="63"/>
      <c r="D102" s="100"/>
      <c r="E102" s="178"/>
      <c r="F102" s="103"/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2" s="7" customFormat="1" x14ac:dyDescent="0.25">
      <c r="A103" s="152" t="str">
        <f>IF(J103&lt;&gt;"",1+MAX($A$18:A101),"")</f>
        <v/>
      </c>
      <c r="B103" s="50"/>
      <c r="C103" s="63"/>
      <c r="D103" s="100"/>
      <c r="E103" s="178"/>
      <c r="F103" s="172" t="s">
        <v>723</v>
      </c>
      <c r="G103" s="51"/>
      <c r="H103" s="52"/>
      <c r="I103" s="53"/>
      <c r="J103" s="99"/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2" s="7" customFormat="1" ht="46.8" x14ac:dyDescent="0.25">
      <c r="A104" s="152">
        <f>IF(J104&lt;&gt;"",1+MAX($A$18:A103),"")</f>
        <v>46</v>
      </c>
      <c r="B104" s="50"/>
      <c r="C104" s="50"/>
      <c r="D104" s="100" t="s">
        <v>35</v>
      </c>
      <c r="E104" s="178" t="s">
        <v>104</v>
      </c>
      <c r="F104" s="175" t="s">
        <v>727</v>
      </c>
      <c r="G104" s="51">
        <f>12*8</f>
        <v>96</v>
      </c>
      <c r="H104" s="52">
        <f>IF(VLOOKUP(J104,'HOURLY RATES'!B$116:C$124,2,0)=0,$J$3,VLOOKUP(J104,'HOURLY RATES'!B$116:C$124,2,0))</f>
        <v>0</v>
      </c>
      <c r="I104" s="53">
        <f t="shared" ref="I104" si="89">(G104*(1+H104))</f>
        <v>96</v>
      </c>
      <c r="J104" s="99" t="s">
        <v>225</v>
      </c>
      <c r="K104" s="153">
        <v>1.23</v>
      </c>
      <c r="L104" s="60">
        <f t="shared" ref="L104:L105" si="90">K104*I104</f>
        <v>118.08</v>
      </c>
      <c r="M104" s="58">
        <f>IF(VLOOKUP(E104,'HOURLY RATES'!C$6:D$105,2,0)=0,$E$3,VLOOKUP(E104,'HOURLY RATES'!C$6:D$105,2,0))</f>
        <v>54</v>
      </c>
      <c r="N104" s="58">
        <f t="shared" ref="N104:N105" si="91">M104*L104</f>
        <v>6376.32</v>
      </c>
      <c r="O104" s="61">
        <v>28</v>
      </c>
      <c r="P104" s="61">
        <f t="shared" ref="P104:P105" si="92">O104*I104</f>
        <v>2688</v>
      </c>
      <c r="Q104" s="62">
        <f t="shared" ref="Q104:Q105" si="93">P104+N104</f>
        <v>9064.32</v>
      </c>
      <c r="R104" s="155"/>
      <c r="S104" s="131">
        <f>((((N104*(1+$D$7))+(P104*(1+$D$5+$D$6)))*(1+$D$8)))/I104</f>
        <v>116.98500239999997</v>
      </c>
      <c r="T104" s="130">
        <f t="shared" ref="T104:T105" si="94">S104*I104</f>
        <v>11230.560230399997</v>
      </c>
    </row>
    <row r="105" spans="1:22" s="7" customFormat="1" ht="46.8" x14ac:dyDescent="0.25">
      <c r="A105" s="152">
        <f>IF(J105&lt;&gt;"",1+MAX($A$18:A104),"")</f>
        <v>47</v>
      </c>
      <c r="B105" s="50"/>
      <c r="C105" s="50"/>
      <c r="D105" s="100" t="s">
        <v>35</v>
      </c>
      <c r="E105" s="178" t="s">
        <v>104</v>
      </c>
      <c r="F105" s="175" t="s">
        <v>728</v>
      </c>
      <c r="G105" s="51">
        <f>12*8</f>
        <v>96</v>
      </c>
      <c r="H105" s="52">
        <f>IF(VLOOKUP(J105,'HOURLY RATES'!B$116:C$124,2,0)=0,$J$3,VLOOKUP(J105,'HOURLY RATES'!B$116:C$124,2,0))</f>
        <v>0</v>
      </c>
      <c r="I105" s="53">
        <f t="shared" ref="I105" si="95">(G105*(1+H105))</f>
        <v>96</v>
      </c>
      <c r="J105" s="99" t="s">
        <v>225</v>
      </c>
      <c r="K105" s="153">
        <v>1.7999999999999999E-2</v>
      </c>
      <c r="L105" s="60">
        <f t="shared" si="90"/>
        <v>1.7279999999999998</v>
      </c>
      <c r="M105" s="58">
        <f>IF(VLOOKUP(E105,'HOURLY RATES'!C$6:D$105,2,0)=0,$E$3,VLOOKUP(E105,'HOURLY RATES'!C$6:D$105,2,0))</f>
        <v>54</v>
      </c>
      <c r="N105" s="58">
        <f t="shared" si="91"/>
        <v>93.311999999999983</v>
      </c>
      <c r="O105" s="61">
        <v>0.8</v>
      </c>
      <c r="P105" s="61">
        <f t="shared" si="92"/>
        <v>76.800000000000011</v>
      </c>
      <c r="Q105" s="62">
        <f t="shared" si="93"/>
        <v>170.11199999999999</v>
      </c>
      <c r="R105" s="155"/>
      <c r="S105" s="131">
        <f>((((N105*(1+$D$7))+(P105*(1+$D$5+$D$6)))*(1+$D$8)))/I105</f>
        <v>2.2149086399999995</v>
      </c>
      <c r="T105" s="130">
        <f t="shared" si="94"/>
        <v>212.63122943999997</v>
      </c>
    </row>
    <row r="106" spans="1:22" s="7" customFormat="1" x14ac:dyDescent="0.25">
      <c r="A106" s="215" t="str">
        <f>IF(J106&lt;&gt;"",1+MAX($A$18:A105),"")</f>
        <v/>
      </c>
      <c r="B106" s="225"/>
      <c r="C106" s="225"/>
      <c r="D106" s="101"/>
      <c r="E106" s="226"/>
      <c r="F106" s="227"/>
      <c r="G106" s="228"/>
      <c r="H106" s="229"/>
      <c r="I106" s="230"/>
      <c r="J106" s="102"/>
      <c r="K106" s="76"/>
      <c r="L106" s="231"/>
      <c r="M106" s="73"/>
      <c r="N106" s="232"/>
      <c r="O106" s="233"/>
      <c r="P106" s="233"/>
      <c r="Q106" s="234"/>
      <c r="R106" s="155"/>
      <c r="S106" s="131"/>
      <c r="T106" s="130"/>
    </row>
    <row r="107" spans="1:22" s="7" customFormat="1" x14ac:dyDescent="0.25">
      <c r="A107" s="304" t="s">
        <v>54</v>
      </c>
      <c r="B107" s="304"/>
      <c r="C107" s="305"/>
      <c r="D107" s="306"/>
      <c r="E107" s="306"/>
      <c r="F107" s="306"/>
      <c r="G107" s="306"/>
      <c r="H107" s="306"/>
      <c r="I107" s="306"/>
      <c r="J107" s="307"/>
      <c r="K107" s="236" t="s">
        <v>228</v>
      </c>
      <c r="L107" s="237">
        <f>SUM(L18:L106)</f>
        <v>1354.173841668023</v>
      </c>
      <c r="M107" s="235" t="s">
        <v>229</v>
      </c>
      <c r="N107" s="238">
        <f>SUM(N18:N106)</f>
        <v>73125.387450073235</v>
      </c>
      <c r="O107" s="235" t="s">
        <v>230</v>
      </c>
      <c r="P107" s="238">
        <f>SUM(P18:P106)</f>
        <v>27901.7965</v>
      </c>
      <c r="Q107" s="239">
        <f>SUM(Q18:Q106)</f>
        <v>101027.18395007323</v>
      </c>
      <c r="R107" s="239">
        <f>SUM(R18:R106)</f>
        <v>101027.18395007325</v>
      </c>
      <c r="S107" s="132"/>
      <c r="T107" s="133">
        <f>SUM(T18:T106)</f>
        <v>125025.60300194887</v>
      </c>
      <c r="U107" s="1"/>
      <c r="V107" s="1"/>
    </row>
    <row r="108" spans="1:22" s="7" customFormat="1" ht="16.2" thickBot="1" x14ac:dyDescent="0.3">
      <c r="A108" s="302" t="s">
        <v>55</v>
      </c>
      <c r="B108" s="303"/>
      <c r="C108" s="38"/>
      <c r="D108" s="38"/>
      <c r="E108" s="105"/>
      <c r="F108" s="39"/>
      <c r="G108" s="40"/>
      <c r="H108" s="40"/>
      <c r="I108" s="40"/>
      <c r="J108" s="38"/>
      <c r="K108" s="38"/>
      <c r="L108" s="38"/>
      <c r="M108" s="77">
        <f>D5</f>
        <v>6.9720000000000004E-2</v>
      </c>
      <c r="N108" s="78"/>
      <c r="O108" s="78"/>
      <c r="P108" s="78">
        <f>P107*M108</f>
        <v>1945.3132519800001</v>
      </c>
      <c r="Q108" s="78">
        <f>P108+N108</f>
        <v>1945.3132519800001</v>
      </c>
      <c r="R108" s="160">
        <f>Q108</f>
        <v>1945.3132519800001</v>
      </c>
      <c r="S108" s="132"/>
      <c r="T108" s="132"/>
      <c r="U108" s="1"/>
      <c r="V108" s="1"/>
    </row>
    <row r="109" spans="1:22" s="7" customFormat="1" ht="16.8" thickTop="1" thickBot="1" x14ac:dyDescent="0.3">
      <c r="A109" s="161" t="s">
        <v>231</v>
      </c>
      <c r="B109" s="47"/>
      <c r="C109" s="41"/>
      <c r="D109" s="41"/>
      <c r="E109" s="42"/>
      <c r="F109" s="43"/>
      <c r="G109" s="44"/>
      <c r="H109" s="44"/>
      <c r="I109" s="44"/>
      <c r="J109" s="41"/>
      <c r="K109" s="41"/>
      <c r="L109" s="41"/>
      <c r="M109" s="48">
        <f>D6</f>
        <v>0.2</v>
      </c>
      <c r="N109" s="46"/>
      <c r="O109" s="46"/>
      <c r="P109" s="46">
        <f>P107*M109</f>
        <v>5580.3593000000001</v>
      </c>
      <c r="Q109" s="46">
        <f>P109+N109</f>
        <v>5580.3593000000001</v>
      </c>
      <c r="R109" s="162">
        <f>Q109</f>
        <v>5580.3593000000001</v>
      </c>
      <c r="S109" s="132"/>
      <c r="T109" s="132"/>
      <c r="U109" s="1"/>
      <c r="V109" s="1"/>
    </row>
    <row r="110" spans="1:22" s="7" customFormat="1" ht="16.8" thickTop="1" thickBot="1" x14ac:dyDescent="0.3">
      <c r="A110" s="161" t="s">
        <v>232</v>
      </c>
      <c r="B110" s="47"/>
      <c r="C110" s="41"/>
      <c r="D110" s="41"/>
      <c r="E110" s="42"/>
      <c r="F110" s="43"/>
      <c r="G110" s="44"/>
      <c r="H110" s="44"/>
      <c r="I110" s="44"/>
      <c r="J110" s="41"/>
      <c r="K110" s="41"/>
      <c r="L110" s="41"/>
      <c r="M110" s="48">
        <f>D7</f>
        <v>0.2</v>
      </c>
      <c r="N110" s="46">
        <f>N107*M110</f>
        <v>14625.077490014648</v>
      </c>
      <c r="O110" s="46"/>
      <c r="P110" s="46"/>
      <c r="Q110" s="46">
        <f>P110+N110</f>
        <v>14625.077490014648</v>
      </c>
      <c r="R110" s="162">
        <f>Q110</f>
        <v>14625.077490014648</v>
      </c>
      <c r="S110" s="132"/>
      <c r="T110" s="132"/>
      <c r="U110" s="1"/>
      <c r="V110" s="1"/>
    </row>
    <row r="111" spans="1:22" s="7" customFormat="1" ht="16.8" thickTop="1" thickBot="1" x14ac:dyDescent="0.3">
      <c r="A111" s="300" t="s">
        <v>233</v>
      </c>
      <c r="B111" s="301"/>
      <c r="C111" s="41"/>
      <c r="D111" s="41"/>
      <c r="E111" s="42"/>
      <c r="F111" s="43"/>
      <c r="G111" s="44"/>
      <c r="H111" s="44"/>
      <c r="I111" s="44"/>
      <c r="J111" s="41"/>
      <c r="K111" s="41"/>
      <c r="L111" s="41"/>
      <c r="M111" s="45">
        <f>D8</f>
        <v>1.4999999999999999E-2</v>
      </c>
      <c r="N111" s="46">
        <f>(N107+N108+N109+N110)*M111</f>
        <v>1316.2569741013183</v>
      </c>
      <c r="O111" s="46"/>
      <c r="P111" s="46">
        <f>(P107+P108+P109+P110)*M111</f>
        <v>531.41203577970009</v>
      </c>
      <c r="Q111" s="46">
        <f>P111+N111</f>
        <v>1847.6690098810184</v>
      </c>
      <c r="R111" s="162">
        <f>Q111</f>
        <v>1847.6690098810184</v>
      </c>
      <c r="S111" s="132"/>
      <c r="T111" s="132"/>
      <c r="U111" s="1"/>
      <c r="V111" s="1"/>
    </row>
    <row r="112" spans="1:22" s="7" customFormat="1" ht="16.2" thickTop="1" x14ac:dyDescent="0.25">
      <c r="A112" s="298" t="s">
        <v>56</v>
      </c>
      <c r="B112" s="299"/>
      <c r="C112" s="163"/>
      <c r="D112" s="163"/>
      <c r="E112" s="164"/>
      <c r="F112" s="165"/>
      <c r="G112" s="166"/>
      <c r="H112" s="166"/>
      <c r="I112" s="166"/>
      <c r="J112" s="163"/>
      <c r="K112" s="163"/>
      <c r="L112" s="163"/>
      <c r="M112" s="167"/>
      <c r="N112" s="168">
        <f>SUM(N107:N111)</f>
        <v>89066.721914189198</v>
      </c>
      <c r="O112" s="167"/>
      <c r="P112" s="168">
        <f>SUM(P107:P111)</f>
        <v>35958.881087759706</v>
      </c>
      <c r="Q112" s="168">
        <f>SUM(Q107:Q111)</f>
        <v>125025.6030019489</v>
      </c>
      <c r="R112" s="169">
        <f>SUM(R107:R111)</f>
        <v>125025.60300194891</v>
      </c>
      <c r="S112" s="132"/>
      <c r="T112" s="133">
        <f>T107</f>
        <v>125025.60300194887</v>
      </c>
      <c r="U112" s="1"/>
      <c r="V112" s="1"/>
    </row>
  </sheetData>
  <autoFilter ref="J1:J112" xr:uid="{00000000-0001-0000-0300-000000000000}"/>
  <mergeCells count="8">
    <mergeCell ref="A111:B111"/>
    <mergeCell ref="A112:B112"/>
    <mergeCell ref="A2:R2"/>
    <mergeCell ref="B3:E3"/>
    <mergeCell ref="E16:F16"/>
    <mergeCell ref="A107:B107"/>
    <mergeCell ref="C107:J107"/>
    <mergeCell ref="A108:B108"/>
  </mergeCells>
  <dataValidations disablePrompts="1" count="1">
    <dataValidation type="list" allowBlank="1" showInputMessage="1" showErrorMessage="1" sqref="E63" xr:uid="{0DF5EBDB-B73E-4D8C-9119-B6EBDD5039D7}">
      <formula1>#REF!</formula1>
    </dataValidation>
  </dataValidations>
  <hyperlinks>
    <hyperlink ref="D3:E3" location="'COST SUMMARY'!A1" display="CLICK HERE TO GO BACK TO COST SUMMARY" xr:uid="{64A0F544-59F0-4D28-A897-16CD5FEE2ADA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C155AD23-9428-4173-BD1E-0B323EF75B03}">
          <x14:formula1>
            <xm:f>'HOURLY RATES'!$B$116:$B$126</xm:f>
          </x14:formula1>
          <xm:sqref>J19:J84 J86:J105</xm:sqref>
        </x14:dataValidation>
        <x14:dataValidation type="list" allowBlank="1" showInputMessage="1" showErrorMessage="1" xr:uid="{C4DBC559-B1CA-43FB-B251-5BDDC2E6C3BA}">
          <x14:formula1>
            <xm:f>'HOURLY RATES'!$C$6:$C$105</xm:f>
          </x14:formula1>
          <xm:sqref>E21:E32 E60:E62 E54:E57 E47:E51 E34:E36 E39:E44 E90:E105 E65:E84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2B42E-A7FB-4445-95DF-6E4F354F8612}">
  <sheetPr>
    <tabColor theme="5" tint="-0.499984740745262"/>
    <pageSetUpPr fitToPage="1"/>
  </sheetPr>
  <dimension ref="A1:V112"/>
  <sheetViews>
    <sheetView zoomScale="40" zoomScaleNormal="40" zoomScaleSheetLayoutView="70" workbookViewId="0">
      <pane ySplit="1" topLeftCell="A2" activePane="bottomLeft" state="frozen"/>
      <selection pane="bottomLeft" activeCell="F28" sqref="F28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Q107</f>
        <v>101027.18395007323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P107*D5</f>
        <v>1945.3132519800001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P107*D6</f>
        <v>5580.3593000000001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N107*D7</f>
        <v>14625.077490014648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1847.6690098810182</v>
      </c>
      <c r="F8" s="185" t="s">
        <v>181</v>
      </c>
      <c r="G8" s="120"/>
      <c r="H8" s="184"/>
      <c r="I8" s="137"/>
      <c r="J8" s="138"/>
      <c r="K8" s="142" t="s">
        <v>829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125025.6030019489</v>
      </c>
      <c r="F9" s="95"/>
      <c r="G9" s="120"/>
      <c r="H9" s="184"/>
      <c r="I9" s="137"/>
      <c r="J9" s="143" t="s">
        <v>183</v>
      </c>
      <c r="K9" s="26">
        <v>5281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5281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8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811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7071.5693340732396</v>
      </c>
      <c r="S18" s="129">
        <f>U18</f>
        <v>93955.614616000006</v>
      </c>
      <c r="T18" s="130"/>
      <c r="U18" s="13">
        <f>SUM(Q67:Q106)</f>
        <v>93955.614616000006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17.399187891851852</v>
      </c>
      <c r="L27" s="60">
        <f t="shared" si="3"/>
        <v>17.399187891851852</v>
      </c>
      <c r="M27" s="58">
        <f>IF(VLOOKUP(E27,'HOURLY RATES'!C$6:D$105,2,0)=0,$E$3,VLOOKUP(E27,'HOURLY RATES'!C$6:D$105,2,0))</f>
        <v>54</v>
      </c>
      <c r="N27" s="58">
        <f t="shared" si="4"/>
        <v>939.55614616000003</v>
      </c>
      <c r="O27" s="61"/>
      <c r="P27" s="61">
        <f t="shared" si="0"/>
        <v>0</v>
      </c>
      <c r="Q27" s="62">
        <f t="shared" si="5"/>
        <v>939.55614616000003</v>
      </c>
      <c r="R27" s="151"/>
      <c r="S27" s="131">
        <f t="shared" si="1"/>
        <v>1144.3793860228798</v>
      </c>
      <c r="T27" s="130">
        <f t="shared" si="6"/>
        <v>1144.3793860228798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10.021932225706667</v>
      </c>
      <c r="L34" s="60">
        <f t="shared" ref="L34:L36" si="8">K34*I34</f>
        <v>10.021932225706667</v>
      </c>
      <c r="M34" s="58">
        <f>IF(VLOOKUP(E34,'HOURLY RATES'!C$6:D$105,2,0)=0,$E$3,VLOOKUP(E34,'HOURLY RATES'!C$6:D$105,2,0))</f>
        <v>54</v>
      </c>
      <c r="N34" s="58">
        <f t="shared" ref="N34:N36" si="9">M34*L34</f>
        <v>541.18434018816004</v>
      </c>
      <c r="O34" s="61"/>
      <c r="P34" s="61">
        <f t="shared" ref="P34:P36" si="10">O34*I34</f>
        <v>0</v>
      </c>
      <c r="Q34" s="62">
        <f t="shared" ref="Q34:Q36" si="11">P34+N34</f>
        <v>541.18434018816004</v>
      </c>
      <c r="R34" s="151"/>
      <c r="S34" s="131">
        <f>((((N34*(1+$D$7))+(P34*(1+$D$5+$D$6)))*(1+$D$8)))/I34</f>
        <v>659.16252634917885</v>
      </c>
      <c r="T34" s="130">
        <f t="shared" ref="T34:T36" si="12">S34*I34</f>
        <v>659.16252634917885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20.017765669575557</v>
      </c>
      <c r="L36" s="60">
        <f t="shared" si="8"/>
        <v>20.017765669575557</v>
      </c>
      <c r="M36" s="58">
        <f>IF(VLOOKUP(E36,'HOURLY RATES'!C$6:D$105,2,0)=0,$E$3,VLOOKUP(E36,'HOURLY RATES'!C$6:D$105,2,0))</f>
        <v>54</v>
      </c>
      <c r="N36" s="58">
        <f t="shared" si="9"/>
        <v>1080.9593461570801</v>
      </c>
      <c r="O36" s="61"/>
      <c r="P36" s="61">
        <f t="shared" si="10"/>
        <v>0</v>
      </c>
      <c r="Q36" s="62">
        <f t="shared" si="11"/>
        <v>1080.9593461570801</v>
      </c>
      <c r="R36" s="151"/>
      <c r="S36" s="131">
        <f>((((N36*(1+$D$7))+(P36*(1+$D$5+$D$6)))*(1+$D$8)))/I36</f>
        <v>1316.6084836193234</v>
      </c>
      <c r="T36" s="130">
        <f t="shared" si="12"/>
        <v>1316.6084836193234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38.278213362074077</v>
      </c>
      <c r="L44" s="60">
        <f t="shared" si="14"/>
        <v>38.278213362074077</v>
      </c>
      <c r="M44" s="58">
        <f>IF(VLOOKUP(E44,'HOURLY RATES'!C$6:D$105,2,0)=0,$E$3,VLOOKUP(E44,'HOURLY RATES'!C$6:D$105,2,0))</f>
        <v>54</v>
      </c>
      <c r="N44" s="58">
        <f t="shared" si="15"/>
        <v>2067.0235215520001</v>
      </c>
      <c r="O44" s="61"/>
      <c r="P44" s="61">
        <f t="shared" si="16"/>
        <v>0</v>
      </c>
      <c r="Q44" s="62">
        <f t="shared" si="5"/>
        <v>2067.0235215520001</v>
      </c>
      <c r="R44" s="151"/>
      <c r="S44" s="131">
        <f t="shared" si="17"/>
        <v>2517.6346492503362</v>
      </c>
      <c r="T44" s="130">
        <f t="shared" si="18"/>
        <v>2517.6346492503362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45.23788851881482</v>
      </c>
      <c r="L65" s="60">
        <f t="shared" ref="L65" si="34">K65*I65</f>
        <v>45.23788851881482</v>
      </c>
      <c r="M65" s="58">
        <f>IF(VLOOKUP(E65,'HOURLY RATES'!C$6:D$105,2,0)=0,$E$3,VLOOKUP(E65,'HOURLY RATES'!C$6:D$105,2,0))</f>
        <v>54</v>
      </c>
      <c r="N65" s="58">
        <f t="shared" ref="N65" si="35">M65*L65</f>
        <v>2442.8459800160003</v>
      </c>
      <c r="O65" s="61"/>
      <c r="P65" s="61">
        <f t="shared" ref="P65" si="36">O65*I65</f>
        <v>0</v>
      </c>
      <c r="Q65" s="62">
        <f t="shared" ref="Q65" si="37">P65+N65</f>
        <v>2442.8459800160003</v>
      </c>
      <c r="R65" s="151"/>
      <c r="S65" s="131">
        <f>((((N65*(1+$D$7))+(P65*(1+$D$5+$D$6)))*(1+$D$8)))/I65</f>
        <v>2975.3864036594882</v>
      </c>
      <c r="T65" s="130">
        <f>S65*I65</f>
        <v>2975.3864036594882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SUM(Q68:Q105)</f>
        <v>93955.614616000006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749</v>
      </c>
      <c r="G72" s="51">
        <v>3349</v>
      </c>
      <c r="H72" s="52">
        <f>IF(VLOOKUP(J72,'HOURLY RATES'!B$116:C$124,2,0)=0,$J$3,VLOOKUP(J72,'HOURLY RATES'!B$116:C$124,2,0))</f>
        <v>0.05</v>
      </c>
      <c r="I72" s="53">
        <f t="shared" ref="I72" si="38">(G72*(1+H72))</f>
        <v>3516.4500000000003</v>
      </c>
      <c r="J72" s="99" t="s">
        <v>224</v>
      </c>
      <c r="K72" s="153">
        <v>2.1999999999999999E-2</v>
      </c>
      <c r="L72" s="60">
        <f t="shared" ref="L72" si="39">K72*I72</f>
        <v>77.361900000000006</v>
      </c>
      <c r="M72" s="58">
        <f>IF(VLOOKUP(E72,'HOURLY RATES'!C$6:D$105,2,0)=0,$E$3,VLOOKUP(E72,'HOURLY RATES'!C$6:D$105,2,0))</f>
        <v>54</v>
      </c>
      <c r="N72" s="58">
        <f t="shared" ref="N72" si="40">M72*L72</f>
        <v>4177.5426000000007</v>
      </c>
      <c r="O72" s="61">
        <v>0.4</v>
      </c>
      <c r="P72" s="61">
        <f t="shared" ref="P72" si="41">O72*I72</f>
        <v>1406.5800000000002</v>
      </c>
      <c r="Q72" s="62">
        <f t="shared" ref="Q72" si="42">P72+N72</f>
        <v>5584.1226000000006</v>
      </c>
      <c r="R72" s="155"/>
      <c r="S72" s="131">
        <f t="shared" ref="S72" si="43">((((N72*(1+$D$7))+(P72*(1+$D$5+$D$6)))*(1+$D$8)))/I72</f>
        <v>1.9624903199999999</v>
      </c>
      <c r="T72" s="130">
        <f t="shared" ref="T72" si="44">S72*I72</f>
        <v>6900.9990857640005</v>
      </c>
    </row>
    <row r="73" spans="1:20" s="7" customFormat="1" x14ac:dyDescent="0.25">
      <c r="A73" s="152" t="str">
        <f>IF(J73&lt;&gt;"",1+MAX($A$18:A71),"")</f>
        <v/>
      </c>
      <c r="B73" s="50"/>
      <c r="C73" s="63"/>
      <c r="D73" s="100"/>
      <c r="E73" s="178"/>
      <c r="F73" s="103" t="s">
        <v>222</v>
      </c>
      <c r="G73" s="51"/>
      <c r="H73" s="52"/>
      <c r="I73" s="53"/>
      <c r="J73" s="99"/>
      <c r="K73" s="153"/>
      <c r="L73" s="60"/>
      <c r="M73" s="58"/>
      <c r="N73" s="58"/>
      <c r="O73" s="61"/>
      <c r="P73" s="61"/>
      <c r="Q73" s="62"/>
      <c r="R73" s="155"/>
      <c r="S73" s="131"/>
      <c r="T73" s="130"/>
    </row>
    <row r="74" spans="1:20" s="7" customFormat="1" x14ac:dyDescent="0.25">
      <c r="A74" s="152" t="str">
        <f>IF(J74&lt;&gt;"",1+MAX($A$18:A73),"")</f>
        <v/>
      </c>
      <c r="B74" s="50"/>
      <c r="C74" s="63"/>
      <c r="D74" s="100"/>
      <c r="E74" s="178"/>
      <c r="F74" s="172" t="s">
        <v>223</v>
      </c>
      <c r="G74" s="51"/>
      <c r="H74" s="52"/>
      <c r="I74" s="53"/>
      <c r="J74" s="99"/>
      <c r="K74" s="153"/>
      <c r="L74" s="60"/>
      <c r="M74" s="58"/>
      <c r="N74" s="58"/>
      <c r="O74" s="61"/>
      <c r="P74" s="61"/>
      <c r="Q74" s="62"/>
      <c r="R74" s="155"/>
      <c r="S74" s="131"/>
      <c r="T74" s="130"/>
    </row>
    <row r="75" spans="1:20" s="7" customFormat="1" ht="31.2" x14ac:dyDescent="0.25">
      <c r="A75" s="152">
        <f>IF(J75&lt;&gt;"",1+MAX($A$18:A74),"")</f>
        <v>35</v>
      </c>
      <c r="B75" s="50"/>
      <c r="C75" s="50"/>
      <c r="D75" s="100" t="s">
        <v>35</v>
      </c>
      <c r="E75" s="178" t="s">
        <v>104</v>
      </c>
      <c r="F75" s="175" t="s">
        <v>750</v>
      </c>
      <c r="G75" s="51">
        <v>6041</v>
      </c>
      <c r="H75" s="52">
        <f>IF(VLOOKUP(J75,'HOURLY RATES'!B$116:C$124,2,0)=0,$J$3,VLOOKUP(J75,'HOURLY RATES'!B$116:C$124,2,0))</f>
        <v>0.05</v>
      </c>
      <c r="I75" s="53">
        <f t="shared" ref="I75" si="45">(G75*(1+H75))</f>
        <v>6343.05</v>
      </c>
      <c r="J75" s="99" t="s">
        <v>224</v>
      </c>
      <c r="K75" s="153">
        <v>0.02</v>
      </c>
      <c r="L75" s="60">
        <f t="shared" ref="L75" si="46">K75*I75</f>
        <v>126.861</v>
      </c>
      <c r="M75" s="58">
        <f>IF(VLOOKUP(E75,'HOURLY RATES'!C$6:D$105,2,0)=0,$E$3,VLOOKUP(E75,'HOURLY RATES'!C$6:D$105,2,0))</f>
        <v>54</v>
      </c>
      <c r="N75" s="58">
        <f t="shared" ref="N75" si="47">M75*L75</f>
        <v>6850.4940000000006</v>
      </c>
      <c r="O75" s="61">
        <v>0.4</v>
      </c>
      <c r="P75" s="61">
        <f t="shared" ref="P75" si="48">O75*I75</f>
        <v>2537.2200000000003</v>
      </c>
      <c r="Q75" s="62">
        <f t="shared" ref="Q75" si="49">P75+N75</f>
        <v>9387.7139999999999</v>
      </c>
      <c r="R75" s="155"/>
      <c r="S75" s="131">
        <f t="shared" ref="S75" si="50">((((N75*(1+$D$7))+(P75*(1+$D$5+$D$6)))*(1+$D$8)))/I75</f>
        <v>1.8309463199999998</v>
      </c>
      <c r="T75" s="130">
        <f t="shared" ref="T75" si="51">S75*I75</f>
        <v>11613.784055075999</v>
      </c>
    </row>
    <row r="76" spans="1:20" s="7" customFormat="1" x14ac:dyDescent="0.25">
      <c r="A76" s="152"/>
      <c r="B76" s="50"/>
      <c r="C76" s="63"/>
      <c r="D76" s="100"/>
      <c r="E76" s="178"/>
      <c r="F76" s="103"/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x14ac:dyDescent="0.25">
      <c r="A77" s="152" t="str">
        <f>IF(J77&lt;&gt;"",1+MAX($A$18:A75),"")</f>
        <v/>
      </c>
      <c r="B77" s="50"/>
      <c r="C77" s="63"/>
      <c r="D77" s="100"/>
      <c r="E77" s="178"/>
      <c r="F77" s="172" t="s">
        <v>227</v>
      </c>
      <c r="G77" s="51"/>
      <c r="H77" s="52"/>
      <c r="I77" s="53"/>
      <c r="J77" s="99"/>
      <c r="K77" s="153"/>
      <c r="L77" s="60"/>
      <c r="M77" s="58"/>
      <c r="N77" s="58"/>
      <c r="O77" s="61"/>
      <c r="P77" s="61"/>
      <c r="Q77" s="62"/>
      <c r="R77" s="155"/>
      <c r="S77" s="131"/>
      <c r="T77" s="130"/>
    </row>
    <row r="78" spans="1:20" s="7" customFormat="1" x14ac:dyDescent="0.25">
      <c r="A78" s="152">
        <f>IF(J78&lt;&gt;"",1+MAX($A$18:A77),"")</f>
        <v>36</v>
      </c>
      <c r="B78" s="50"/>
      <c r="C78" s="50"/>
      <c r="D78" s="100" t="s">
        <v>35</v>
      </c>
      <c r="E78" s="178" t="s">
        <v>104</v>
      </c>
      <c r="F78" s="175" t="s">
        <v>748</v>
      </c>
      <c r="G78" s="51">
        <v>29.42</v>
      </c>
      <c r="H78" s="52">
        <f>IF(VLOOKUP(J78,'HOURLY RATES'!B$116:C$124,2,0)=0,$J$3,VLOOKUP(J78,'HOURLY RATES'!B$116:C$124,2,0))</f>
        <v>0.05</v>
      </c>
      <c r="I78" s="53">
        <f t="shared" ref="I78" si="52">(G78*(1+H78))</f>
        <v>30.891000000000002</v>
      </c>
      <c r="J78" s="99" t="s">
        <v>226</v>
      </c>
      <c r="K78" s="153">
        <v>4.3999999999999997E-2</v>
      </c>
      <c r="L78" s="60">
        <f t="shared" ref="L78" si="53">K78*I78</f>
        <v>1.3592040000000001</v>
      </c>
      <c r="M78" s="58">
        <f>IF(VLOOKUP(E78,'HOURLY RATES'!C$6:D$105,2,0)=0,$E$3,VLOOKUP(E78,'HOURLY RATES'!C$6:D$105,2,0))</f>
        <v>54</v>
      </c>
      <c r="N78" s="58">
        <f t="shared" ref="N78" si="54">M78*L78</f>
        <v>73.397016000000008</v>
      </c>
      <c r="O78" s="61">
        <v>1.5</v>
      </c>
      <c r="P78" s="61">
        <f t="shared" ref="P78" si="55">O78*I78</f>
        <v>46.336500000000001</v>
      </c>
      <c r="Q78" s="62">
        <f t="shared" ref="Q78" si="56">P78+N78</f>
        <v>119.73351600000001</v>
      </c>
      <c r="R78" s="155"/>
      <c r="S78" s="131">
        <f>((((N78*(1+$D$7))+(P78*(1+$D$5+$D$6)))*(1+$D$8)))/I78</f>
        <v>4.8271166999999995</v>
      </c>
      <c r="T78" s="130">
        <f t="shared" ref="T78" si="57">S78*I78</f>
        <v>149.1144619797</v>
      </c>
    </row>
    <row r="79" spans="1:20" s="7" customFormat="1" x14ac:dyDescent="0.25">
      <c r="A79" s="152"/>
      <c r="B79" s="50"/>
      <c r="C79" s="63"/>
      <c r="D79" s="100"/>
      <c r="E79" s="178"/>
      <c r="F79" s="103"/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x14ac:dyDescent="0.25">
      <c r="A80" s="152" t="str">
        <f>IF(J80&lt;&gt;"",1+MAX($A$18:A77),"")</f>
        <v/>
      </c>
      <c r="B80" s="50"/>
      <c r="C80" s="63"/>
      <c r="D80" s="100"/>
      <c r="E80" s="178"/>
      <c r="F80" s="172" t="s">
        <v>723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0" s="7" customFormat="1" ht="31.2" x14ac:dyDescent="0.25">
      <c r="A81" s="152">
        <f>IF(J81&lt;&gt;"",1+MAX($A$18:A80),"")</f>
        <v>37</v>
      </c>
      <c r="B81" s="50"/>
      <c r="C81" s="50"/>
      <c r="D81" s="100" t="s">
        <v>35</v>
      </c>
      <c r="E81" s="178" t="s">
        <v>104</v>
      </c>
      <c r="F81" s="175" t="s">
        <v>804</v>
      </c>
      <c r="G81" s="51">
        <v>7</v>
      </c>
      <c r="H81" s="52">
        <f>IF(VLOOKUP(J81,'HOURLY RATES'!B$116:C$124,2,0)=0,$J$3,VLOOKUP(J81,'HOURLY RATES'!B$116:C$124,2,0))</f>
        <v>0</v>
      </c>
      <c r="I81" s="53">
        <f t="shared" ref="I81:I83" si="58">(G81*(1+H81))</f>
        <v>7</v>
      </c>
      <c r="J81" s="99" t="s">
        <v>225</v>
      </c>
      <c r="K81" s="153">
        <v>1.23</v>
      </c>
      <c r="L81" s="60">
        <f t="shared" ref="L81:L83" si="59">K81*I81</f>
        <v>8.61</v>
      </c>
      <c r="M81" s="58">
        <f>IF(VLOOKUP(E81,'HOURLY RATES'!C$6:D$105,2,0)=0,$E$3,VLOOKUP(E81,'HOURLY RATES'!C$6:D$105,2,0))</f>
        <v>54</v>
      </c>
      <c r="N81" s="58">
        <f t="shared" ref="N81:N83" si="60">M81*L81</f>
        <v>464.93999999999994</v>
      </c>
      <c r="O81" s="61">
        <v>28</v>
      </c>
      <c r="P81" s="61">
        <f t="shared" ref="P81:P83" si="61">O81*I81</f>
        <v>196</v>
      </c>
      <c r="Q81" s="62">
        <f t="shared" ref="Q81:Q83" si="62">P81+N81</f>
        <v>660.93999999999994</v>
      </c>
      <c r="R81" s="155"/>
      <c r="S81" s="131">
        <f>((((N81*(1+$D$7))+(P81*(1+$D$5+$D$6)))*(1+$D$8)))/I81</f>
        <v>116.98500239999997</v>
      </c>
      <c r="T81" s="130">
        <f t="shared" ref="T81:T83" si="63">S81*I81</f>
        <v>818.89501679999978</v>
      </c>
    </row>
    <row r="82" spans="1:20" s="7" customFormat="1" ht="31.2" x14ac:dyDescent="0.25">
      <c r="A82" s="152">
        <f>IF(J82&lt;&gt;"",1+MAX($A$18:A81),"")</f>
        <v>38</v>
      </c>
      <c r="B82" s="50"/>
      <c r="C82" s="50"/>
      <c r="D82" s="100" t="s">
        <v>35</v>
      </c>
      <c r="E82" s="178" t="s">
        <v>104</v>
      </c>
      <c r="F82" s="175" t="s">
        <v>805</v>
      </c>
      <c r="G82" s="51">
        <f>G83/2</f>
        <v>166.5</v>
      </c>
      <c r="H82" s="52">
        <f>IF(VLOOKUP(J82,'HOURLY RATES'!B$116:C$124,2,0)=0,$J$3,VLOOKUP(J82,'HOURLY RATES'!B$116:C$124,2,0))</f>
        <v>0.05</v>
      </c>
      <c r="I82" s="53">
        <f t="shared" si="58"/>
        <v>174.82500000000002</v>
      </c>
      <c r="J82" s="99" t="s">
        <v>226</v>
      </c>
      <c r="K82" s="153">
        <v>1.7999999999999999E-2</v>
      </c>
      <c r="L82" s="60">
        <f t="shared" si="59"/>
        <v>3.1468500000000001</v>
      </c>
      <c r="M82" s="58">
        <f>IF(VLOOKUP(E82,'HOURLY RATES'!C$6:D$105,2,0)=0,$E$3,VLOOKUP(E82,'HOURLY RATES'!C$6:D$105,2,0))</f>
        <v>54</v>
      </c>
      <c r="N82" s="58">
        <f t="shared" si="60"/>
        <v>169.9299</v>
      </c>
      <c r="O82" s="61">
        <v>0.8</v>
      </c>
      <c r="P82" s="61">
        <f t="shared" si="61"/>
        <v>139.86000000000001</v>
      </c>
      <c r="Q82" s="62">
        <f t="shared" si="62"/>
        <v>309.78989999999999</v>
      </c>
      <c r="R82" s="155"/>
      <c r="S82" s="131">
        <f>((((N82*(1+$D$7))+(P82*(1+$D$5+$D$6)))*(1+$D$8)))/I82</f>
        <v>2.2149086399999995</v>
      </c>
      <c r="T82" s="130">
        <f t="shared" si="63"/>
        <v>387.22140298799997</v>
      </c>
    </row>
    <row r="83" spans="1:20" s="7" customFormat="1" ht="31.2" x14ac:dyDescent="0.25">
      <c r="A83" s="152">
        <f>IF(J83&lt;&gt;"",1+MAX($A$18:A82),"")</f>
        <v>39</v>
      </c>
      <c r="B83" s="50"/>
      <c r="C83" s="50"/>
      <c r="D83" s="100" t="s">
        <v>35</v>
      </c>
      <c r="E83" s="178" t="s">
        <v>104</v>
      </c>
      <c r="F83" s="175" t="s">
        <v>806</v>
      </c>
      <c r="G83" s="51">
        <v>333</v>
      </c>
      <c r="H83" s="52">
        <f>IF(VLOOKUP(J83,'HOURLY RATES'!B$116:C$124,2,0)=0,$J$3,VLOOKUP(J83,'HOURLY RATES'!B$116:C$124,2,0))</f>
        <v>0.05</v>
      </c>
      <c r="I83" s="53">
        <f t="shared" si="58"/>
        <v>349.65000000000003</v>
      </c>
      <c r="J83" s="99" t="s">
        <v>226</v>
      </c>
      <c r="K83" s="153">
        <v>1.7999999999999999E-2</v>
      </c>
      <c r="L83" s="60">
        <f t="shared" si="59"/>
        <v>6.2937000000000003</v>
      </c>
      <c r="M83" s="58">
        <f>IF(VLOOKUP(E83,'HOURLY RATES'!C$6:D$105,2,0)=0,$E$3,VLOOKUP(E83,'HOURLY RATES'!C$6:D$105,2,0))</f>
        <v>54</v>
      </c>
      <c r="N83" s="58">
        <f t="shared" si="60"/>
        <v>339.85980000000001</v>
      </c>
      <c r="O83" s="61">
        <v>0.8</v>
      </c>
      <c r="P83" s="61">
        <f t="shared" si="61"/>
        <v>279.72000000000003</v>
      </c>
      <c r="Q83" s="62">
        <f t="shared" si="62"/>
        <v>619.57979999999998</v>
      </c>
      <c r="R83" s="155"/>
      <c r="S83" s="131">
        <f>((((N83*(1+$D$7))+(P83*(1+$D$5+$D$6)))*(1+$D$8)))/I83</f>
        <v>2.2149086399999995</v>
      </c>
      <c r="T83" s="130">
        <f t="shared" si="63"/>
        <v>774.44280597599993</v>
      </c>
    </row>
    <row r="84" spans="1:20" s="7" customFormat="1" x14ac:dyDescent="0.25">
      <c r="A84" s="152"/>
      <c r="B84" s="50"/>
      <c r="C84" s="63"/>
      <c r="D84" s="100"/>
      <c r="E84" s="178"/>
      <c r="F84" s="103"/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 t="str">
        <f>IF(J85&lt;&gt;"",1+MAX($A$18:A84),"")</f>
        <v/>
      </c>
      <c r="B85" s="109"/>
      <c r="C85" s="110"/>
      <c r="D85" s="100"/>
      <c r="E85" s="179"/>
      <c r="F85" s="172" t="s">
        <v>725</v>
      </c>
      <c r="G85" s="112"/>
      <c r="H85" s="113"/>
      <c r="I85" s="114"/>
      <c r="J85" s="99"/>
      <c r="K85" s="153"/>
      <c r="L85" s="156"/>
      <c r="M85" s="157"/>
      <c r="N85" s="157"/>
      <c r="O85" s="158"/>
      <c r="P85" s="158"/>
      <c r="Q85" s="159"/>
      <c r="R85" s="155"/>
      <c r="S85" s="131"/>
      <c r="T85" s="130"/>
    </row>
    <row r="86" spans="1:20" s="7" customFormat="1" ht="46.8" x14ac:dyDescent="0.25">
      <c r="A86" s="152">
        <f>IF(J86&lt;&gt;"",1+MAX($A$18:A84),"")</f>
        <v>40</v>
      </c>
      <c r="B86" s="109"/>
      <c r="C86" s="109"/>
      <c r="D86" s="100" t="s">
        <v>35</v>
      </c>
      <c r="E86" s="179" t="s">
        <v>86</v>
      </c>
      <c r="F86" s="176" t="s">
        <v>815</v>
      </c>
      <c r="G86" s="112">
        <v>3315</v>
      </c>
      <c r="H86" s="113">
        <v>0.05</v>
      </c>
      <c r="I86" s="114">
        <f t="shared" ref="I86:I89" si="64">(G86*(1+H86))</f>
        <v>3480.75</v>
      </c>
      <c r="J86" s="99" t="s">
        <v>224</v>
      </c>
      <c r="K86" s="153">
        <v>0.02</v>
      </c>
      <c r="L86" s="156">
        <f t="shared" ref="L86:L89" si="65">K86*I86</f>
        <v>69.614999999999995</v>
      </c>
      <c r="M86" s="58">
        <f>IF(VLOOKUP(E86,'HOURLY RATES'!C$6:D$105,2,0)=0,$E$3,VLOOKUP(E86,'HOURLY RATES'!C$6:D$105,2,0))</f>
        <v>54</v>
      </c>
      <c r="N86" s="157">
        <f t="shared" ref="N86:N89" si="66">M86*L86</f>
        <v>3759.2099999999996</v>
      </c>
      <c r="O86" s="158">
        <v>0.8</v>
      </c>
      <c r="P86" s="158">
        <f t="shared" ref="P86:P89" si="67">O86*I86</f>
        <v>2784.6000000000004</v>
      </c>
      <c r="Q86" s="159">
        <f t="shared" ref="Q86:Q89" si="68">P86+N86</f>
        <v>6543.8099999999995</v>
      </c>
      <c r="R86" s="155"/>
      <c r="S86" s="131">
        <f>((((N86*(1+$D$7))+(P86*(1+$D$5+$D$6)))*(1+$D$8)))/I86</f>
        <v>2.3464526399999999</v>
      </c>
      <c r="T86" s="130">
        <f t="shared" ref="T86:T89" si="69">S86*I86</f>
        <v>8167.4150266799998</v>
      </c>
    </row>
    <row r="87" spans="1:20" s="7" customFormat="1" ht="46.8" x14ac:dyDescent="0.25">
      <c r="A87" s="152">
        <f>IF(J87&lt;&gt;"",1+MAX($A$18:A86),"")</f>
        <v>41</v>
      </c>
      <c r="B87" s="109"/>
      <c r="C87" s="109"/>
      <c r="D87" s="100" t="s">
        <v>35</v>
      </c>
      <c r="E87" s="179" t="s">
        <v>86</v>
      </c>
      <c r="F87" s="176" t="s">
        <v>818</v>
      </c>
      <c r="G87" s="112">
        <v>785</v>
      </c>
      <c r="H87" s="113">
        <v>0.05</v>
      </c>
      <c r="I87" s="114">
        <f t="shared" si="64"/>
        <v>824.25</v>
      </c>
      <c r="J87" s="99" t="s">
        <v>224</v>
      </c>
      <c r="K87" s="153">
        <v>0.02</v>
      </c>
      <c r="L87" s="156">
        <f t="shared" si="65"/>
        <v>16.484999999999999</v>
      </c>
      <c r="M87" s="58">
        <f>IF(VLOOKUP(E87,'HOURLY RATES'!C$6:D$105,2,0)=0,$E$3,VLOOKUP(E87,'HOURLY RATES'!C$6:D$105,2,0))</f>
        <v>54</v>
      </c>
      <c r="N87" s="157">
        <f t="shared" si="66"/>
        <v>890.18999999999994</v>
      </c>
      <c r="O87" s="158">
        <v>0.8</v>
      </c>
      <c r="P87" s="158">
        <f t="shared" si="67"/>
        <v>659.40000000000009</v>
      </c>
      <c r="Q87" s="159">
        <f t="shared" si="68"/>
        <v>1549.5900000000001</v>
      </c>
      <c r="R87" s="155"/>
      <c r="S87" s="131">
        <f>((((N87*(1+$D$7))+(P87*(1+$D$5+$D$6)))*(1+$D$8)))/I87</f>
        <v>2.3464526399999999</v>
      </c>
      <c r="T87" s="130">
        <f t="shared" si="69"/>
        <v>1934.0635885199999</v>
      </c>
    </row>
    <row r="88" spans="1:20" s="7" customFormat="1" ht="46.8" x14ac:dyDescent="0.25">
      <c r="A88" s="152">
        <f>IF(J88&lt;&gt;"",1+MAX($A$18:A86),"")</f>
        <v>41</v>
      </c>
      <c r="B88" s="109"/>
      <c r="C88" s="109"/>
      <c r="D88" s="100" t="s">
        <v>35</v>
      </c>
      <c r="E88" s="179" t="s">
        <v>86</v>
      </c>
      <c r="F88" s="176" t="s">
        <v>814</v>
      </c>
      <c r="G88" s="112">
        <v>700</v>
      </c>
      <c r="H88" s="113">
        <v>0.05</v>
      </c>
      <c r="I88" s="114">
        <f t="shared" si="64"/>
        <v>735</v>
      </c>
      <c r="J88" s="99" t="s">
        <v>226</v>
      </c>
      <c r="K88" s="153">
        <v>1.7999999999999999E-2</v>
      </c>
      <c r="L88" s="156">
        <f t="shared" si="65"/>
        <v>13.229999999999999</v>
      </c>
      <c r="M88" s="58">
        <f>IF(VLOOKUP(E88,'HOURLY RATES'!C$6:D$105,2,0)=0,$E$3,VLOOKUP(E88,'HOURLY RATES'!C$6:D$105,2,0))</f>
        <v>54</v>
      </c>
      <c r="N88" s="157">
        <f t="shared" si="66"/>
        <v>714.42</v>
      </c>
      <c r="O88" s="158">
        <v>0.8</v>
      </c>
      <c r="P88" s="158">
        <f t="shared" si="67"/>
        <v>588</v>
      </c>
      <c r="Q88" s="159">
        <f t="shared" si="68"/>
        <v>1302.42</v>
      </c>
      <c r="R88" s="155"/>
      <c r="S88" s="131">
        <f t="shared" ref="S88:S89" si="70">((((N88*(1+$D$7))+(P88*(1+$D$5+$D$6)))*(1+$D$8)))/I88</f>
        <v>2.2149086399999995</v>
      </c>
      <c r="T88" s="130">
        <f t="shared" si="69"/>
        <v>1627.9578503999996</v>
      </c>
    </row>
    <row r="89" spans="1:20" s="7" customFormat="1" ht="46.8" x14ac:dyDescent="0.25">
      <c r="A89" s="152">
        <f>IF(J89&lt;&gt;"",1+MAX($A$18:A86),"")</f>
        <v>41</v>
      </c>
      <c r="B89" s="109"/>
      <c r="C89" s="109"/>
      <c r="D89" s="100" t="s">
        <v>35</v>
      </c>
      <c r="E89" s="179" t="s">
        <v>86</v>
      </c>
      <c r="F89" s="176" t="s">
        <v>781</v>
      </c>
      <c r="G89" s="112">
        <v>258</v>
      </c>
      <c r="H89" s="113">
        <v>0.05</v>
      </c>
      <c r="I89" s="114">
        <f t="shared" si="64"/>
        <v>270.90000000000003</v>
      </c>
      <c r="J89" s="99" t="s">
        <v>226</v>
      </c>
      <c r="K89" s="153">
        <v>1.7999999999999999E-2</v>
      </c>
      <c r="L89" s="156">
        <f t="shared" si="65"/>
        <v>4.8761999999999999</v>
      </c>
      <c r="M89" s="58">
        <f>IF(VLOOKUP(E89,'HOURLY RATES'!C$6:D$105,2,0)=0,$E$3,VLOOKUP(E89,'HOURLY RATES'!C$6:D$105,2,0))</f>
        <v>54</v>
      </c>
      <c r="N89" s="157">
        <f t="shared" si="66"/>
        <v>263.31479999999999</v>
      </c>
      <c r="O89" s="158">
        <v>0.8</v>
      </c>
      <c r="P89" s="158">
        <f t="shared" si="67"/>
        <v>216.72000000000003</v>
      </c>
      <c r="Q89" s="159">
        <f t="shared" si="68"/>
        <v>480.03480000000002</v>
      </c>
      <c r="R89" s="155"/>
      <c r="S89" s="131">
        <f t="shared" si="70"/>
        <v>2.2149086399999995</v>
      </c>
      <c r="T89" s="130">
        <f t="shared" si="69"/>
        <v>600.018750576</v>
      </c>
    </row>
    <row r="90" spans="1:20" s="7" customFormat="1" x14ac:dyDescent="0.25">
      <c r="A90" s="152" t="str">
        <f>IF(J90&lt;&gt;"",1+MAX($A$18:A89),"")</f>
        <v/>
      </c>
      <c r="B90" s="50"/>
      <c r="C90" s="50"/>
      <c r="D90" s="100"/>
      <c r="E90" s="178"/>
      <c r="F90" s="175" t="s">
        <v>222</v>
      </c>
      <c r="G90" s="51"/>
      <c r="H90" s="52"/>
      <c r="I90" s="53"/>
      <c r="J90" s="99"/>
      <c r="K90" s="153"/>
      <c r="L90" s="60"/>
      <c r="M90" s="58"/>
      <c r="N90" s="58"/>
      <c r="O90" s="61"/>
      <c r="P90" s="61"/>
      <c r="Q90" s="62"/>
      <c r="R90" s="155"/>
      <c r="S90" s="131"/>
      <c r="T90" s="130"/>
    </row>
    <row r="91" spans="1:20" s="7" customFormat="1" ht="18" x14ac:dyDescent="0.25">
      <c r="A91" s="152" t="str">
        <f>IF(J91&lt;&gt;"",1+MAX($A$18:A90),"")</f>
        <v/>
      </c>
      <c r="B91" s="50"/>
      <c r="C91" s="63"/>
      <c r="D91" s="100"/>
      <c r="E91" s="178"/>
      <c r="F91" s="173" t="s">
        <v>720</v>
      </c>
      <c r="G91" s="51"/>
      <c r="H91" s="52"/>
      <c r="I91" s="53"/>
      <c r="J91" s="99"/>
      <c r="K91" s="153"/>
      <c r="L91" s="60"/>
      <c r="M91" s="58"/>
      <c r="N91" s="58"/>
      <c r="O91" s="61"/>
      <c r="P91" s="61"/>
      <c r="Q91" s="62"/>
      <c r="R91" s="155"/>
      <c r="S91" s="131"/>
      <c r="T91" s="130"/>
    </row>
    <row r="92" spans="1:20" s="7" customFormat="1" x14ac:dyDescent="0.25">
      <c r="A92" s="152">
        <f>IF(J92&lt;&gt;"",1+MAX($A$18:A91),"")</f>
        <v>42</v>
      </c>
      <c r="B92" s="50"/>
      <c r="C92" s="63"/>
      <c r="D92" s="100"/>
      <c r="E92" s="178"/>
      <c r="F92" s="177" t="s">
        <v>766</v>
      </c>
      <c r="G92" s="108">
        <v>8</v>
      </c>
      <c r="H92" s="52"/>
      <c r="I92" s="53"/>
      <c r="J92" s="99" t="s">
        <v>225</v>
      </c>
      <c r="K92" s="153"/>
      <c r="L92" s="60"/>
      <c r="M92" s="58"/>
      <c r="N92" s="58"/>
      <c r="O92" s="61"/>
      <c r="P92" s="61"/>
      <c r="Q92" s="62"/>
      <c r="R92" s="155"/>
      <c r="S92" s="131"/>
      <c r="T92" s="130"/>
    </row>
    <row r="93" spans="1:20" s="7" customFormat="1" x14ac:dyDescent="0.25">
      <c r="A93" s="152" t="str">
        <f>IF(J93&lt;&gt;"",1+MAX($A$18:A92),"")</f>
        <v/>
      </c>
      <c r="B93" s="50"/>
      <c r="C93" s="63"/>
      <c r="D93" s="100"/>
      <c r="E93" s="178"/>
      <c r="F93" s="172" t="s">
        <v>722</v>
      </c>
      <c r="G93" s="51"/>
      <c r="H93" s="52"/>
      <c r="I93" s="53"/>
      <c r="J93" s="99"/>
      <c r="K93" s="153"/>
      <c r="L93" s="60"/>
      <c r="M93" s="58"/>
      <c r="N93" s="58"/>
      <c r="O93" s="61"/>
      <c r="P93" s="61"/>
      <c r="Q93" s="62"/>
      <c r="R93" s="155"/>
      <c r="S93" s="131"/>
      <c r="T93" s="130"/>
    </row>
    <row r="94" spans="1:20" s="7" customFormat="1" ht="31.2" x14ac:dyDescent="0.25">
      <c r="A94" s="152">
        <f>IF(J94&lt;&gt;"",1+MAX($A$18:A93),"")</f>
        <v>43</v>
      </c>
      <c r="B94" s="50"/>
      <c r="C94" s="50"/>
      <c r="D94" s="100" t="s">
        <v>35</v>
      </c>
      <c r="E94" s="178" t="s">
        <v>104</v>
      </c>
      <c r="F94" s="175" t="s">
        <v>758</v>
      </c>
      <c r="G94" s="51">
        <f>1225*8</f>
        <v>9800</v>
      </c>
      <c r="H94" s="52">
        <f>IF(VLOOKUP(J94,'HOURLY RATES'!B$116:C$124,2,0)=0,$J$3,VLOOKUP(J94,'HOURLY RATES'!B$116:C$124,2,0))</f>
        <v>0.05</v>
      </c>
      <c r="I94" s="53">
        <f t="shared" ref="I94" si="71">(G94*(1+H94))</f>
        <v>10290</v>
      </c>
      <c r="J94" s="99" t="s">
        <v>224</v>
      </c>
      <c r="K94" s="153">
        <v>2.1999999999999999E-2</v>
      </c>
      <c r="L94" s="60">
        <f t="shared" ref="L94" si="72">K94*I94</f>
        <v>226.38</v>
      </c>
      <c r="M94" s="58">
        <f>IF(VLOOKUP(E94,'HOURLY RATES'!C$6:D$105,2,0)=0,$E$3,VLOOKUP(E94,'HOURLY RATES'!C$6:D$105,2,0))</f>
        <v>54</v>
      </c>
      <c r="N94" s="58">
        <f t="shared" ref="N94" si="73">M94*L94</f>
        <v>12224.52</v>
      </c>
      <c r="O94" s="61">
        <v>0.4</v>
      </c>
      <c r="P94" s="61">
        <f t="shared" ref="P94" si="74">O94*I94</f>
        <v>4116</v>
      </c>
      <c r="Q94" s="62">
        <f t="shared" ref="Q94" si="75">P94+N94</f>
        <v>16340.52</v>
      </c>
      <c r="R94" s="155"/>
      <c r="S94" s="131">
        <f>((((N94*(1+$D$7))+(P94*(1+$D$5+$D$6)))*(1+$D$8)))/I94</f>
        <v>1.9624903199999999</v>
      </c>
      <c r="T94" s="130">
        <f t="shared" ref="T94" si="76">S94*I94</f>
        <v>20194.025392799998</v>
      </c>
    </row>
    <row r="95" spans="1:20" s="7" customFormat="1" x14ac:dyDescent="0.25">
      <c r="A95" s="152"/>
      <c r="B95" s="50"/>
      <c r="C95" s="63"/>
      <c r="D95" s="100"/>
      <c r="E95" s="178"/>
      <c r="F95" s="103"/>
      <c r="G95" s="51"/>
      <c r="H95" s="52"/>
      <c r="I95" s="53"/>
      <c r="J95" s="99"/>
      <c r="K95" s="153"/>
      <c r="L95" s="60"/>
      <c r="M95" s="58"/>
      <c r="N95" s="58"/>
      <c r="O95" s="61"/>
      <c r="P95" s="61"/>
      <c r="Q95" s="62"/>
      <c r="R95" s="155"/>
      <c r="S95" s="131"/>
      <c r="T95" s="130"/>
    </row>
    <row r="96" spans="1:20" s="7" customFormat="1" x14ac:dyDescent="0.25">
      <c r="A96" s="152" t="str">
        <f>IF(J96&lt;&gt;"",1+MAX($A$18:A94),"")</f>
        <v/>
      </c>
      <c r="B96" s="50"/>
      <c r="C96" s="63"/>
      <c r="D96" s="100"/>
      <c r="E96" s="178"/>
      <c r="F96" s="172" t="s">
        <v>719</v>
      </c>
      <c r="G96" s="51"/>
      <c r="H96" s="52"/>
      <c r="I96" s="53"/>
      <c r="J96" s="99"/>
      <c r="K96" s="153"/>
      <c r="L96" s="60"/>
      <c r="M96" s="58"/>
      <c r="N96" s="58"/>
      <c r="O96" s="61"/>
      <c r="P96" s="61"/>
      <c r="Q96" s="62"/>
      <c r="R96" s="155"/>
      <c r="S96" s="131"/>
      <c r="T96" s="130"/>
    </row>
    <row r="97" spans="1:22" s="7" customFormat="1" ht="31.2" x14ac:dyDescent="0.25">
      <c r="A97" s="152">
        <f>IF(J97&lt;&gt;"",1+MAX($A$18:A96),"")</f>
        <v>44</v>
      </c>
      <c r="B97" s="50"/>
      <c r="C97" s="50"/>
      <c r="D97" s="100" t="s">
        <v>35</v>
      </c>
      <c r="E97" s="178" t="s">
        <v>104</v>
      </c>
      <c r="F97" s="175" t="s">
        <v>760</v>
      </c>
      <c r="G97" s="51">
        <f>320*8</f>
        <v>2560</v>
      </c>
      <c r="H97" s="52">
        <f>IF(VLOOKUP(J97,'HOURLY RATES'!B$116:C$124,2,0)=0,$J$3,VLOOKUP(J97,'HOURLY RATES'!B$116:C$124,2,0))</f>
        <v>0.05</v>
      </c>
      <c r="I97" s="53">
        <f t="shared" ref="I97:I101" si="77">(G97*(1+H97))</f>
        <v>2688</v>
      </c>
      <c r="J97" s="99" t="s">
        <v>226</v>
      </c>
      <c r="K97" s="153">
        <v>1.7999999999999999E-2</v>
      </c>
      <c r="L97" s="60">
        <f t="shared" ref="L97" si="78">K97*I97</f>
        <v>48.383999999999993</v>
      </c>
      <c r="M97" s="58">
        <f>IF(VLOOKUP(E97,'HOURLY RATES'!C$6:D$105,2,0)=0,$E$3,VLOOKUP(E97,'HOURLY RATES'!C$6:D$105,2,0))</f>
        <v>54</v>
      </c>
      <c r="N97" s="58">
        <f t="shared" ref="N97" si="79">M97*L97</f>
        <v>2612.7359999999994</v>
      </c>
      <c r="O97" s="61">
        <v>0.8</v>
      </c>
      <c r="P97" s="61">
        <f t="shared" ref="P97:P101" si="80">O97*I97</f>
        <v>2150.4</v>
      </c>
      <c r="Q97" s="62">
        <f t="shared" ref="Q97:Q101" si="81">P97+N97</f>
        <v>4763.1359999999995</v>
      </c>
      <c r="R97" s="155"/>
      <c r="S97" s="131">
        <f>((((N97*(1+$D$7))+(P97*(1+$D$5+$D$6)))*(1+$D$8)))/I97</f>
        <v>2.2149086399999995</v>
      </c>
      <c r="T97" s="130">
        <f t="shared" ref="T97:T101" si="82">S97*I97</f>
        <v>5953.6744243199992</v>
      </c>
    </row>
    <row r="98" spans="1:22" s="7" customFormat="1" x14ac:dyDescent="0.25">
      <c r="A98" s="152"/>
      <c r="B98" s="50"/>
      <c r="C98" s="63"/>
      <c r="D98" s="100"/>
      <c r="E98" s="178"/>
      <c r="F98" s="103"/>
      <c r="G98" s="51"/>
      <c r="H98" s="52"/>
      <c r="I98" s="53"/>
      <c r="J98" s="99"/>
      <c r="K98" s="153"/>
      <c r="L98" s="60"/>
      <c r="M98" s="58"/>
      <c r="N98" s="58"/>
      <c r="O98" s="61"/>
      <c r="P98" s="61"/>
      <c r="Q98" s="62"/>
      <c r="R98" s="155"/>
      <c r="S98" s="131"/>
      <c r="T98" s="130"/>
    </row>
    <row r="99" spans="1:22" s="7" customFormat="1" x14ac:dyDescent="0.25">
      <c r="A99" s="152" t="str">
        <f>IF(J99&lt;&gt;"",1+MAX($A$18:A97),"")</f>
        <v/>
      </c>
      <c r="B99" s="50"/>
      <c r="C99" s="63"/>
      <c r="D99" s="100"/>
      <c r="E99" s="178"/>
      <c r="F99" s="172" t="s">
        <v>223</v>
      </c>
      <c r="G99" s="51"/>
      <c r="H99" s="52"/>
      <c r="I99" s="53"/>
      <c r="J99" s="99"/>
      <c r="K99" s="153"/>
      <c r="L99" s="60"/>
      <c r="M99" s="58"/>
      <c r="N99" s="58"/>
      <c r="O99" s="61"/>
      <c r="P99" s="61"/>
      <c r="Q99" s="62"/>
      <c r="R99" s="155"/>
      <c r="S99" s="131"/>
      <c r="T99" s="130"/>
    </row>
    <row r="100" spans="1:22" s="7" customFormat="1" ht="31.2" x14ac:dyDescent="0.25">
      <c r="A100" s="152">
        <f>IF(J100&lt;&gt;"",1+MAX($A$18:A98),"")</f>
        <v>45</v>
      </c>
      <c r="B100" s="50"/>
      <c r="C100" s="50"/>
      <c r="D100" s="100" t="s">
        <v>35</v>
      </c>
      <c r="E100" s="178" t="s">
        <v>104</v>
      </c>
      <c r="F100" s="175" t="s">
        <v>757</v>
      </c>
      <c r="G100" s="51">
        <f>2528*8</f>
        <v>20224</v>
      </c>
      <c r="H100" s="52">
        <f>IF(VLOOKUP(J100,'HOURLY RATES'!B$116:C$124,2,0)=0,$J$3,VLOOKUP(J100,'HOURLY RATES'!B$116:C$124,2,0))</f>
        <v>0.05</v>
      </c>
      <c r="I100" s="53">
        <f t="shared" ref="I100" si="83">(G100*(1+H100))</f>
        <v>21235.200000000001</v>
      </c>
      <c r="J100" s="99" t="s">
        <v>224</v>
      </c>
      <c r="K100" s="153">
        <v>0.02</v>
      </c>
      <c r="L100" s="60">
        <f t="shared" ref="L100:L101" si="84">K100*I100</f>
        <v>424.70400000000001</v>
      </c>
      <c r="M100" s="58">
        <f>IF(VLOOKUP(E100,'HOURLY RATES'!C$6:D$105,2,0)=0,$E$3,VLOOKUP(E100,'HOURLY RATES'!C$6:D$105,2,0))</f>
        <v>54</v>
      </c>
      <c r="N100" s="58">
        <f t="shared" ref="N100:N101" si="85">M100*L100</f>
        <v>22934.016</v>
      </c>
      <c r="O100" s="61">
        <v>0.4</v>
      </c>
      <c r="P100" s="61">
        <f t="shared" ref="P100" si="86">O100*I100</f>
        <v>8494.08</v>
      </c>
      <c r="Q100" s="62">
        <f t="shared" ref="Q100" si="87">P100+N100</f>
        <v>31428.095999999998</v>
      </c>
      <c r="R100" s="155"/>
      <c r="S100" s="131">
        <f>((((N100*(1+$D$7))+(P100*(1+$D$5+$D$6)))*(1+$D$8)))/I100</f>
        <v>1.8309463199999996</v>
      </c>
      <c r="T100" s="130">
        <f t="shared" ref="T100" si="88">S100*I100</f>
        <v>38880.511294463991</v>
      </c>
    </row>
    <row r="101" spans="1:22" s="7" customFormat="1" ht="31.2" x14ac:dyDescent="0.25">
      <c r="A101" s="152">
        <f>IF(J101&lt;&gt;"",1+MAX($A$18:A99),"")</f>
        <v>45</v>
      </c>
      <c r="B101" s="50"/>
      <c r="C101" s="50"/>
      <c r="D101" s="100" t="s">
        <v>35</v>
      </c>
      <c r="E101" s="178" t="s">
        <v>104</v>
      </c>
      <c r="F101" s="175" t="s">
        <v>759</v>
      </c>
      <c r="G101" s="51">
        <f>453*8</f>
        <v>3624</v>
      </c>
      <c r="H101" s="52">
        <f>IF(VLOOKUP(J101,'HOURLY RATES'!B$116:C$124,2,0)=0,$J$3,VLOOKUP(J101,'HOURLY RATES'!B$116:C$124,2,0))</f>
        <v>0.05</v>
      </c>
      <c r="I101" s="53">
        <f t="shared" si="77"/>
        <v>3805.2000000000003</v>
      </c>
      <c r="J101" s="99" t="s">
        <v>224</v>
      </c>
      <c r="K101" s="153">
        <v>0.02</v>
      </c>
      <c r="L101" s="60">
        <f t="shared" si="84"/>
        <v>76.104000000000013</v>
      </c>
      <c r="M101" s="58">
        <f>IF(VLOOKUP(E101,'HOURLY RATES'!C$6:D$105,2,0)=0,$E$3,VLOOKUP(E101,'HOURLY RATES'!C$6:D$105,2,0))</f>
        <v>54</v>
      </c>
      <c r="N101" s="58">
        <f t="shared" si="85"/>
        <v>4109.6160000000009</v>
      </c>
      <c r="O101" s="61">
        <v>0.4</v>
      </c>
      <c r="P101" s="61">
        <f t="shared" si="80"/>
        <v>1522.0800000000002</v>
      </c>
      <c r="Q101" s="62">
        <f t="shared" si="81"/>
        <v>5631.6960000000008</v>
      </c>
      <c r="R101" s="155"/>
      <c r="S101" s="131">
        <f>((((N101*(1+$D$7))+(P101*(1+$D$5+$D$6)))*(1+$D$8)))/I101</f>
        <v>1.83094632</v>
      </c>
      <c r="T101" s="130">
        <f t="shared" si="82"/>
        <v>6967.1169368640003</v>
      </c>
    </row>
    <row r="102" spans="1:22" s="7" customFormat="1" x14ac:dyDescent="0.25">
      <c r="A102" s="152"/>
      <c r="B102" s="50"/>
      <c r="C102" s="63"/>
      <c r="D102" s="100"/>
      <c r="E102" s="178"/>
      <c r="F102" s="103"/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2" s="7" customFormat="1" x14ac:dyDescent="0.25">
      <c r="A103" s="152" t="str">
        <f>IF(J103&lt;&gt;"",1+MAX($A$18:A101),"")</f>
        <v/>
      </c>
      <c r="B103" s="50"/>
      <c r="C103" s="63"/>
      <c r="D103" s="100"/>
      <c r="E103" s="178"/>
      <c r="F103" s="172" t="s">
        <v>723</v>
      </c>
      <c r="G103" s="51"/>
      <c r="H103" s="52"/>
      <c r="I103" s="53"/>
      <c r="J103" s="99"/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2" s="7" customFormat="1" ht="46.8" x14ac:dyDescent="0.25">
      <c r="A104" s="152">
        <f>IF(J104&lt;&gt;"",1+MAX($A$18:A103),"")</f>
        <v>46</v>
      </c>
      <c r="B104" s="50"/>
      <c r="C104" s="50"/>
      <c r="D104" s="100" t="s">
        <v>35</v>
      </c>
      <c r="E104" s="178" t="s">
        <v>104</v>
      </c>
      <c r="F104" s="175" t="s">
        <v>727</v>
      </c>
      <c r="G104" s="51">
        <f>12*8</f>
        <v>96</v>
      </c>
      <c r="H104" s="52">
        <f>IF(VLOOKUP(J104,'HOURLY RATES'!B$116:C$124,2,0)=0,$J$3,VLOOKUP(J104,'HOURLY RATES'!B$116:C$124,2,0))</f>
        <v>0</v>
      </c>
      <c r="I104" s="53">
        <f t="shared" ref="I104" si="89">(G104*(1+H104))</f>
        <v>96</v>
      </c>
      <c r="J104" s="99" t="s">
        <v>225</v>
      </c>
      <c r="K104" s="153">
        <v>1.23</v>
      </c>
      <c r="L104" s="60">
        <f t="shared" ref="L104:L105" si="90">K104*I104</f>
        <v>118.08</v>
      </c>
      <c r="M104" s="58">
        <f>IF(VLOOKUP(E104,'HOURLY RATES'!C$6:D$105,2,0)=0,$E$3,VLOOKUP(E104,'HOURLY RATES'!C$6:D$105,2,0))</f>
        <v>54</v>
      </c>
      <c r="N104" s="58">
        <f t="shared" ref="N104:N105" si="91">M104*L104</f>
        <v>6376.32</v>
      </c>
      <c r="O104" s="61">
        <v>28</v>
      </c>
      <c r="P104" s="61">
        <f t="shared" ref="P104:P105" si="92">O104*I104</f>
        <v>2688</v>
      </c>
      <c r="Q104" s="62">
        <f t="shared" ref="Q104:Q105" si="93">P104+N104</f>
        <v>9064.32</v>
      </c>
      <c r="R104" s="155"/>
      <c r="S104" s="131">
        <f>((((N104*(1+$D$7))+(P104*(1+$D$5+$D$6)))*(1+$D$8)))/I104</f>
        <v>116.98500239999997</v>
      </c>
      <c r="T104" s="130">
        <f t="shared" ref="T104:T105" si="94">S104*I104</f>
        <v>11230.560230399997</v>
      </c>
    </row>
    <row r="105" spans="1:22" s="7" customFormat="1" ht="46.8" x14ac:dyDescent="0.25">
      <c r="A105" s="152">
        <f>IF(J105&lt;&gt;"",1+MAX($A$18:A104),"")</f>
        <v>47</v>
      </c>
      <c r="B105" s="50"/>
      <c r="C105" s="50"/>
      <c r="D105" s="100" t="s">
        <v>35</v>
      </c>
      <c r="E105" s="178" t="s">
        <v>104</v>
      </c>
      <c r="F105" s="175" t="s">
        <v>728</v>
      </c>
      <c r="G105" s="51">
        <f>12*8</f>
        <v>96</v>
      </c>
      <c r="H105" s="52">
        <f>IF(VLOOKUP(J105,'HOURLY RATES'!B$116:C$124,2,0)=0,$J$3,VLOOKUP(J105,'HOURLY RATES'!B$116:C$124,2,0))</f>
        <v>0</v>
      </c>
      <c r="I105" s="53">
        <f t="shared" ref="I105" si="95">(G105*(1+H105))</f>
        <v>96</v>
      </c>
      <c r="J105" s="99" t="s">
        <v>225</v>
      </c>
      <c r="K105" s="153">
        <v>1.7999999999999999E-2</v>
      </c>
      <c r="L105" s="60">
        <f t="shared" si="90"/>
        <v>1.7279999999999998</v>
      </c>
      <c r="M105" s="58">
        <f>IF(VLOOKUP(E105,'HOURLY RATES'!C$6:D$105,2,0)=0,$E$3,VLOOKUP(E105,'HOURLY RATES'!C$6:D$105,2,0))</f>
        <v>54</v>
      </c>
      <c r="N105" s="58">
        <f t="shared" si="91"/>
        <v>93.311999999999983</v>
      </c>
      <c r="O105" s="61">
        <v>0.8</v>
      </c>
      <c r="P105" s="61">
        <f t="shared" si="92"/>
        <v>76.800000000000011</v>
      </c>
      <c r="Q105" s="62">
        <f t="shared" si="93"/>
        <v>170.11199999999999</v>
      </c>
      <c r="R105" s="155"/>
      <c r="S105" s="131">
        <f>((((N105*(1+$D$7))+(P105*(1+$D$5+$D$6)))*(1+$D$8)))/I105</f>
        <v>2.2149086399999995</v>
      </c>
      <c r="T105" s="130">
        <f t="shared" si="94"/>
        <v>212.63122943999997</v>
      </c>
    </row>
    <row r="106" spans="1:22" s="7" customFormat="1" x14ac:dyDescent="0.25">
      <c r="A106" s="215" t="str">
        <f>IF(J106&lt;&gt;"",1+MAX($A$18:A105),"")</f>
        <v/>
      </c>
      <c r="B106" s="225"/>
      <c r="C106" s="225"/>
      <c r="D106" s="101"/>
      <c r="E106" s="226"/>
      <c r="F106" s="227"/>
      <c r="G106" s="228"/>
      <c r="H106" s="229"/>
      <c r="I106" s="230"/>
      <c r="J106" s="102"/>
      <c r="K106" s="76"/>
      <c r="L106" s="231"/>
      <c r="M106" s="73"/>
      <c r="N106" s="232"/>
      <c r="O106" s="233"/>
      <c r="P106" s="233"/>
      <c r="Q106" s="234"/>
      <c r="R106" s="155"/>
      <c r="S106" s="131"/>
      <c r="T106" s="130"/>
    </row>
    <row r="107" spans="1:22" s="7" customFormat="1" x14ac:dyDescent="0.25">
      <c r="A107" s="304" t="s">
        <v>54</v>
      </c>
      <c r="B107" s="304"/>
      <c r="C107" s="305"/>
      <c r="D107" s="306"/>
      <c r="E107" s="306"/>
      <c r="F107" s="306"/>
      <c r="G107" s="306"/>
      <c r="H107" s="306"/>
      <c r="I107" s="306"/>
      <c r="J107" s="307"/>
      <c r="K107" s="236" t="s">
        <v>228</v>
      </c>
      <c r="L107" s="237">
        <f>SUM(L18:L106)</f>
        <v>1354.173841668023</v>
      </c>
      <c r="M107" s="235" t="s">
        <v>229</v>
      </c>
      <c r="N107" s="238">
        <f>SUM(N18:N106)</f>
        <v>73125.387450073235</v>
      </c>
      <c r="O107" s="235" t="s">
        <v>230</v>
      </c>
      <c r="P107" s="238">
        <f>SUM(P18:P106)</f>
        <v>27901.7965</v>
      </c>
      <c r="Q107" s="239">
        <f>SUM(Q18:Q106)</f>
        <v>101027.18395007323</v>
      </c>
      <c r="R107" s="239">
        <f>SUM(R18:R106)</f>
        <v>101027.18395007325</v>
      </c>
      <c r="S107" s="132"/>
      <c r="T107" s="133">
        <f>SUM(T18:T106)</f>
        <v>125025.60300194887</v>
      </c>
      <c r="U107" s="1"/>
      <c r="V107" s="1"/>
    </row>
    <row r="108" spans="1:22" s="7" customFormat="1" ht="16.2" thickBot="1" x14ac:dyDescent="0.3">
      <c r="A108" s="302" t="s">
        <v>55</v>
      </c>
      <c r="B108" s="303"/>
      <c r="C108" s="38"/>
      <c r="D108" s="38"/>
      <c r="E108" s="105"/>
      <c r="F108" s="39"/>
      <c r="G108" s="40"/>
      <c r="H108" s="40"/>
      <c r="I108" s="40"/>
      <c r="J108" s="38"/>
      <c r="K108" s="38"/>
      <c r="L108" s="38"/>
      <c r="M108" s="77">
        <f>D5</f>
        <v>6.9720000000000004E-2</v>
      </c>
      <c r="N108" s="78"/>
      <c r="O108" s="78"/>
      <c r="P108" s="78">
        <f>P107*M108</f>
        <v>1945.3132519800001</v>
      </c>
      <c r="Q108" s="78">
        <f>P108+N108</f>
        <v>1945.3132519800001</v>
      </c>
      <c r="R108" s="160">
        <f>Q108</f>
        <v>1945.3132519800001</v>
      </c>
      <c r="S108" s="132"/>
      <c r="T108" s="132"/>
      <c r="U108" s="1"/>
      <c r="V108" s="1"/>
    </row>
    <row r="109" spans="1:22" s="7" customFormat="1" ht="16.8" thickTop="1" thickBot="1" x14ac:dyDescent="0.3">
      <c r="A109" s="161" t="s">
        <v>231</v>
      </c>
      <c r="B109" s="47"/>
      <c r="C109" s="41"/>
      <c r="D109" s="41"/>
      <c r="E109" s="42"/>
      <c r="F109" s="43"/>
      <c r="G109" s="44"/>
      <c r="H109" s="44"/>
      <c r="I109" s="44"/>
      <c r="J109" s="41"/>
      <c r="K109" s="41"/>
      <c r="L109" s="41"/>
      <c r="M109" s="48">
        <f>D6</f>
        <v>0.2</v>
      </c>
      <c r="N109" s="46"/>
      <c r="O109" s="46"/>
      <c r="P109" s="46">
        <f>P107*M109</f>
        <v>5580.3593000000001</v>
      </c>
      <c r="Q109" s="46">
        <f>P109+N109</f>
        <v>5580.3593000000001</v>
      </c>
      <c r="R109" s="162">
        <f>Q109</f>
        <v>5580.3593000000001</v>
      </c>
      <c r="S109" s="132"/>
      <c r="T109" s="132"/>
      <c r="U109" s="1"/>
      <c r="V109" s="1"/>
    </row>
    <row r="110" spans="1:22" s="7" customFormat="1" ht="16.8" thickTop="1" thickBot="1" x14ac:dyDescent="0.3">
      <c r="A110" s="161" t="s">
        <v>232</v>
      </c>
      <c r="B110" s="47"/>
      <c r="C110" s="41"/>
      <c r="D110" s="41"/>
      <c r="E110" s="42"/>
      <c r="F110" s="43"/>
      <c r="G110" s="44"/>
      <c r="H110" s="44"/>
      <c r="I110" s="44"/>
      <c r="J110" s="41"/>
      <c r="K110" s="41"/>
      <c r="L110" s="41"/>
      <c r="M110" s="48">
        <f>D7</f>
        <v>0.2</v>
      </c>
      <c r="N110" s="46">
        <f>N107*M110</f>
        <v>14625.077490014648</v>
      </c>
      <c r="O110" s="46"/>
      <c r="P110" s="46"/>
      <c r="Q110" s="46">
        <f>P110+N110</f>
        <v>14625.077490014648</v>
      </c>
      <c r="R110" s="162">
        <f>Q110</f>
        <v>14625.077490014648</v>
      </c>
      <c r="S110" s="132"/>
      <c r="T110" s="132"/>
      <c r="U110" s="1"/>
      <c r="V110" s="1"/>
    </row>
    <row r="111" spans="1:22" s="7" customFormat="1" ht="16.8" thickTop="1" thickBot="1" x14ac:dyDescent="0.3">
      <c r="A111" s="300" t="s">
        <v>233</v>
      </c>
      <c r="B111" s="301"/>
      <c r="C111" s="41"/>
      <c r="D111" s="41"/>
      <c r="E111" s="42"/>
      <c r="F111" s="43"/>
      <c r="G111" s="44"/>
      <c r="H111" s="44"/>
      <c r="I111" s="44"/>
      <c r="J111" s="41"/>
      <c r="K111" s="41"/>
      <c r="L111" s="41"/>
      <c r="M111" s="45">
        <f>D8</f>
        <v>1.4999999999999999E-2</v>
      </c>
      <c r="N111" s="46">
        <f>(N107+N108+N109+N110)*M111</f>
        <v>1316.2569741013183</v>
      </c>
      <c r="O111" s="46"/>
      <c r="P111" s="46">
        <f>(P107+P108+P109+P110)*M111</f>
        <v>531.41203577970009</v>
      </c>
      <c r="Q111" s="46">
        <f>P111+N111</f>
        <v>1847.6690098810184</v>
      </c>
      <c r="R111" s="162">
        <f>Q111</f>
        <v>1847.6690098810184</v>
      </c>
      <c r="S111" s="132"/>
      <c r="T111" s="132"/>
      <c r="U111" s="1"/>
      <c r="V111" s="1"/>
    </row>
    <row r="112" spans="1:22" s="7" customFormat="1" ht="16.2" thickTop="1" x14ac:dyDescent="0.25">
      <c r="A112" s="298" t="s">
        <v>56</v>
      </c>
      <c r="B112" s="299"/>
      <c r="C112" s="163"/>
      <c r="D112" s="163"/>
      <c r="E112" s="164"/>
      <c r="F112" s="165"/>
      <c r="G112" s="166"/>
      <c r="H112" s="166"/>
      <c r="I112" s="166"/>
      <c r="J112" s="163"/>
      <c r="K112" s="163"/>
      <c r="L112" s="163"/>
      <c r="M112" s="167"/>
      <c r="N112" s="168">
        <f>SUM(N107:N111)</f>
        <v>89066.721914189198</v>
      </c>
      <c r="O112" s="167"/>
      <c r="P112" s="168">
        <f>SUM(P107:P111)</f>
        <v>35958.881087759706</v>
      </c>
      <c r="Q112" s="168">
        <f>SUM(Q107:Q111)</f>
        <v>125025.6030019489</v>
      </c>
      <c r="R112" s="169">
        <f>SUM(R107:R111)</f>
        <v>125025.60300194891</v>
      </c>
      <c r="S112" s="132"/>
      <c r="T112" s="133">
        <f>T107</f>
        <v>125025.60300194887</v>
      </c>
      <c r="U112" s="1"/>
      <c r="V112" s="1"/>
    </row>
  </sheetData>
  <autoFilter ref="J1:J112" xr:uid="{00000000-0001-0000-0300-000000000000}"/>
  <mergeCells count="8">
    <mergeCell ref="A111:B111"/>
    <mergeCell ref="A112:B112"/>
    <mergeCell ref="A2:R2"/>
    <mergeCell ref="B3:E3"/>
    <mergeCell ref="E16:F16"/>
    <mergeCell ref="A107:B107"/>
    <mergeCell ref="C107:J107"/>
    <mergeCell ref="A108:B108"/>
  </mergeCells>
  <dataValidations disablePrompts="1" count="1">
    <dataValidation type="list" allowBlank="1" showInputMessage="1" showErrorMessage="1" sqref="E63" xr:uid="{C15CF11B-153C-4FC1-819B-DF971DE799F0}">
      <formula1>#REF!</formula1>
    </dataValidation>
  </dataValidations>
  <hyperlinks>
    <hyperlink ref="D3:E3" location="'COST SUMMARY'!A1" display="CLICK HERE TO GO BACK TO COST SUMMARY" xr:uid="{7D4A328C-E4D0-4BC0-9258-0567782F3ECD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092D561B-5F2B-420B-B2E8-EEB675165EA4}">
          <x14:formula1>
            <xm:f>'HOURLY RATES'!$C$6:$C$105</xm:f>
          </x14:formula1>
          <xm:sqref>E21:E32 E60:E62 E54:E57 E47:E51 E34:E36 E39:E44 E90:E105 E65:E84</xm:sqref>
        </x14:dataValidation>
        <x14:dataValidation type="list" allowBlank="1" showInputMessage="1" showErrorMessage="1" xr:uid="{59549566-8328-4FC0-81CA-C18BE2A7BE8B}">
          <x14:formula1>
            <xm:f>'HOURLY RATES'!$B$116:$B$126</xm:f>
          </x14:formula1>
          <xm:sqref>J19:J84 J86:J105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0C869-05FE-4F97-87F7-14D8469A08E2}">
  <sheetPr>
    <tabColor theme="5" tint="-0.499984740745262"/>
    <pageSetUpPr fitToPage="1"/>
  </sheetPr>
  <dimension ref="A1:V112"/>
  <sheetViews>
    <sheetView zoomScale="40" zoomScaleNormal="40" zoomScaleSheetLayoutView="70" workbookViewId="0">
      <pane ySplit="1" topLeftCell="A2" activePane="bottomLeft" state="frozen"/>
      <selection pane="bottomLeft" activeCell="F24" sqref="F24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Q107</f>
        <v>101027.18395007323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P107*D5</f>
        <v>1945.3132519800001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P107*D6</f>
        <v>5580.3593000000001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N107*D7</f>
        <v>14625.077490014648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1847.6690098810182</v>
      </c>
      <c r="F8" s="185" t="s">
        <v>181</v>
      </c>
      <c r="G8" s="120"/>
      <c r="H8" s="184"/>
      <c r="I8" s="137"/>
      <c r="J8" s="138"/>
      <c r="K8" s="142" t="s">
        <v>830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125025.6030019489</v>
      </c>
      <c r="F9" s="95"/>
      <c r="G9" s="120"/>
      <c r="H9" s="184"/>
      <c r="I9" s="137"/>
      <c r="J9" s="143" t="s">
        <v>183</v>
      </c>
      <c r="K9" s="26">
        <v>5281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5281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8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811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7071.5693340732396</v>
      </c>
      <c r="S18" s="129">
        <f>U18</f>
        <v>93955.614616000006</v>
      </c>
      <c r="T18" s="130"/>
      <c r="U18" s="13">
        <f>SUM(Q67:Q106)</f>
        <v>93955.614616000006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17.399187891851852</v>
      </c>
      <c r="L27" s="60">
        <f t="shared" si="3"/>
        <v>17.399187891851852</v>
      </c>
      <c r="M27" s="58">
        <f>IF(VLOOKUP(E27,'HOURLY RATES'!C$6:D$105,2,0)=0,$E$3,VLOOKUP(E27,'HOURLY RATES'!C$6:D$105,2,0))</f>
        <v>54</v>
      </c>
      <c r="N27" s="58">
        <f t="shared" si="4"/>
        <v>939.55614616000003</v>
      </c>
      <c r="O27" s="61"/>
      <c r="P27" s="61">
        <f t="shared" si="0"/>
        <v>0</v>
      </c>
      <c r="Q27" s="62">
        <f t="shared" si="5"/>
        <v>939.55614616000003</v>
      </c>
      <c r="R27" s="151"/>
      <c r="S27" s="131">
        <f t="shared" si="1"/>
        <v>1144.3793860228798</v>
      </c>
      <c r="T27" s="130">
        <f t="shared" si="6"/>
        <v>1144.3793860228798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10.021932225706667</v>
      </c>
      <c r="L34" s="60">
        <f t="shared" ref="L34:L36" si="8">K34*I34</f>
        <v>10.021932225706667</v>
      </c>
      <c r="M34" s="58">
        <f>IF(VLOOKUP(E34,'HOURLY RATES'!C$6:D$105,2,0)=0,$E$3,VLOOKUP(E34,'HOURLY RATES'!C$6:D$105,2,0))</f>
        <v>54</v>
      </c>
      <c r="N34" s="58">
        <f t="shared" ref="N34:N36" si="9">M34*L34</f>
        <v>541.18434018816004</v>
      </c>
      <c r="O34" s="61"/>
      <c r="P34" s="61">
        <f t="shared" ref="P34:P36" si="10">O34*I34</f>
        <v>0</v>
      </c>
      <c r="Q34" s="62">
        <f t="shared" ref="Q34:Q36" si="11">P34+N34</f>
        <v>541.18434018816004</v>
      </c>
      <c r="R34" s="151"/>
      <c r="S34" s="131">
        <f>((((N34*(1+$D$7))+(P34*(1+$D$5+$D$6)))*(1+$D$8)))/I34</f>
        <v>659.16252634917885</v>
      </c>
      <c r="T34" s="130">
        <f t="shared" ref="T34:T36" si="12">S34*I34</f>
        <v>659.16252634917885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20.017765669575557</v>
      </c>
      <c r="L36" s="60">
        <f t="shared" si="8"/>
        <v>20.017765669575557</v>
      </c>
      <c r="M36" s="58">
        <f>IF(VLOOKUP(E36,'HOURLY RATES'!C$6:D$105,2,0)=0,$E$3,VLOOKUP(E36,'HOURLY RATES'!C$6:D$105,2,0))</f>
        <v>54</v>
      </c>
      <c r="N36" s="58">
        <f t="shared" si="9"/>
        <v>1080.9593461570801</v>
      </c>
      <c r="O36" s="61"/>
      <c r="P36" s="61">
        <f t="shared" si="10"/>
        <v>0</v>
      </c>
      <c r="Q36" s="62">
        <f t="shared" si="11"/>
        <v>1080.9593461570801</v>
      </c>
      <c r="R36" s="151"/>
      <c r="S36" s="131">
        <f>((((N36*(1+$D$7))+(P36*(1+$D$5+$D$6)))*(1+$D$8)))/I36</f>
        <v>1316.6084836193234</v>
      </c>
      <c r="T36" s="130">
        <f t="shared" si="12"/>
        <v>1316.6084836193234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38.278213362074077</v>
      </c>
      <c r="L44" s="60">
        <f t="shared" si="14"/>
        <v>38.278213362074077</v>
      </c>
      <c r="M44" s="58">
        <f>IF(VLOOKUP(E44,'HOURLY RATES'!C$6:D$105,2,0)=0,$E$3,VLOOKUP(E44,'HOURLY RATES'!C$6:D$105,2,0))</f>
        <v>54</v>
      </c>
      <c r="N44" s="58">
        <f t="shared" si="15"/>
        <v>2067.0235215520001</v>
      </c>
      <c r="O44" s="61"/>
      <c r="P44" s="61">
        <f t="shared" si="16"/>
        <v>0</v>
      </c>
      <c r="Q44" s="62">
        <f t="shared" si="5"/>
        <v>2067.0235215520001</v>
      </c>
      <c r="R44" s="151"/>
      <c r="S44" s="131">
        <f t="shared" si="17"/>
        <v>2517.6346492503362</v>
      </c>
      <c r="T44" s="130">
        <f t="shared" si="18"/>
        <v>2517.6346492503362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45.23788851881482</v>
      </c>
      <c r="L65" s="60">
        <f t="shared" ref="L65" si="34">K65*I65</f>
        <v>45.23788851881482</v>
      </c>
      <c r="M65" s="58">
        <f>IF(VLOOKUP(E65,'HOURLY RATES'!C$6:D$105,2,0)=0,$E$3,VLOOKUP(E65,'HOURLY RATES'!C$6:D$105,2,0))</f>
        <v>54</v>
      </c>
      <c r="N65" s="58">
        <f t="shared" ref="N65" si="35">M65*L65</f>
        <v>2442.8459800160003</v>
      </c>
      <c r="O65" s="61"/>
      <c r="P65" s="61">
        <f t="shared" ref="P65" si="36">O65*I65</f>
        <v>0</v>
      </c>
      <c r="Q65" s="62">
        <f t="shared" ref="Q65" si="37">P65+N65</f>
        <v>2442.8459800160003</v>
      </c>
      <c r="R65" s="151"/>
      <c r="S65" s="131">
        <f>((((N65*(1+$D$7))+(P65*(1+$D$5+$D$6)))*(1+$D$8)))/I65</f>
        <v>2975.3864036594882</v>
      </c>
      <c r="T65" s="130">
        <f>S65*I65</f>
        <v>2975.3864036594882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SUM(Q68:Q105)</f>
        <v>93955.614616000006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749</v>
      </c>
      <c r="G72" s="51">
        <v>3349</v>
      </c>
      <c r="H72" s="52">
        <f>IF(VLOOKUP(J72,'HOURLY RATES'!B$116:C$124,2,0)=0,$J$3,VLOOKUP(J72,'HOURLY RATES'!B$116:C$124,2,0))</f>
        <v>0.05</v>
      </c>
      <c r="I72" s="53">
        <f t="shared" ref="I72" si="38">(G72*(1+H72))</f>
        <v>3516.4500000000003</v>
      </c>
      <c r="J72" s="99" t="s">
        <v>224</v>
      </c>
      <c r="K72" s="153">
        <v>2.1999999999999999E-2</v>
      </c>
      <c r="L72" s="60">
        <f t="shared" ref="L72" si="39">K72*I72</f>
        <v>77.361900000000006</v>
      </c>
      <c r="M72" s="58">
        <f>IF(VLOOKUP(E72,'HOURLY RATES'!C$6:D$105,2,0)=0,$E$3,VLOOKUP(E72,'HOURLY RATES'!C$6:D$105,2,0))</f>
        <v>54</v>
      </c>
      <c r="N72" s="58">
        <f t="shared" ref="N72" si="40">M72*L72</f>
        <v>4177.5426000000007</v>
      </c>
      <c r="O72" s="61">
        <v>0.4</v>
      </c>
      <c r="P72" s="61">
        <f t="shared" ref="P72" si="41">O72*I72</f>
        <v>1406.5800000000002</v>
      </c>
      <c r="Q72" s="62">
        <f t="shared" ref="Q72" si="42">P72+N72</f>
        <v>5584.1226000000006</v>
      </c>
      <c r="R72" s="155"/>
      <c r="S72" s="131">
        <f t="shared" ref="S72" si="43">((((N72*(1+$D$7))+(P72*(1+$D$5+$D$6)))*(1+$D$8)))/I72</f>
        <v>1.9624903199999999</v>
      </c>
      <c r="T72" s="130">
        <f t="shared" ref="T72" si="44">S72*I72</f>
        <v>6900.9990857640005</v>
      </c>
    </row>
    <row r="73" spans="1:20" s="7" customFormat="1" x14ac:dyDescent="0.25">
      <c r="A73" s="152" t="str">
        <f>IF(J73&lt;&gt;"",1+MAX($A$18:A71),"")</f>
        <v/>
      </c>
      <c r="B73" s="50"/>
      <c r="C73" s="63"/>
      <c r="D73" s="100"/>
      <c r="E73" s="178"/>
      <c r="F73" s="103" t="s">
        <v>222</v>
      </c>
      <c r="G73" s="51"/>
      <c r="H73" s="52"/>
      <c r="I73" s="53"/>
      <c r="J73" s="99"/>
      <c r="K73" s="153"/>
      <c r="L73" s="60"/>
      <c r="M73" s="58"/>
      <c r="N73" s="58"/>
      <c r="O73" s="61"/>
      <c r="P73" s="61"/>
      <c r="Q73" s="62"/>
      <c r="R73" s="155"/>
      <c r="S73" s="131"/>
      <c r="T73" s="130"/>
    </row>
    <row r="74" spans="1:20" s="7" customFormat="1" x14ac:dyDescent="0.25">
      <c r="A74" s="152" t="str">
        <f>IF(J74&lt;&gt;"",1+MAX($A$18:A73),"")</f>
        <v/>
      </c>
      <c r="B74" s="50"/>
      <c r="C74" s="63"/>
      <c r="D74" s="100"/>
      <c r="E74" s="178"/>
      <c r="F74" s="172" t="s">
        <v>223</v>
      </c>
      <c r="G74" s="51"/>
      <c r="H74" s="52"/>
      <c r="I74" s="53"/>
      <c r="J74" s="99"/>
      <c r="K74" s="153"/>
      <c r="L74" s="60"/>
      <c r="M74" s="58"/>
      <c r="N74" s="58"/>
      <c r="O74" s="61"/>
      <c r="P74" s="61"/>
      <c r="Q74" s="62"/>
      <c r="R74" s="155"/>
      <c r="S74" s="131"/>
      <c r="T74" s="130"/>
    </row>
    <row r="75" spans="1:20" s="7" customFormat="1" ht="31.2" x14ac:dyDescent="0.25">
      <c r="A75" s="152">
        <f>IF(J75&lt;&gt;"",1+MAX($A$18:A74),"")</f>
        <v>35</v>
      </c>
      <c r="B75" s="50"/>
      <c r="C75" s="50"/>
      <c r="D75" s="100" t="s">
        <v>35</v>
      </c>
      <c r="E75" s="178" t="s">
        <v>104</v>
      </c>
      <c r="F75" s="175" t="s">
        <v>750</v>
      </c>
      <c r="G75" s="51">
        <v>6041</v>
      </c>
      <c r="H75" s="52">
        <f>IF(VLOOKUP(J75,'HOURLY RATES'!B$116:C$124,2,0)=0,$J$3,VLOOKUP(J75,'HOURLY RATES'!B$116:C$124,2,0))</f>
        <v>0.05</v>
      </c>
      <c r="I75" s="53">
        <f t="shared" ref="I75" si="45">(G75*(1+H75))</f>
        <v>6343.05</v>
      </c>
      <c r="J75" s="99" t="s">
        <v>224</v>
      </c>
      <c r="K75" s="153">
        <v>0.02</v>
      </c>
      <c r="L75" s="60">
        <f t="shared" ref="L75" si="46">K75*I75</f>
        <v>126.861</v>
      </c>
      <c r="M75" s="58">
        <f>IF(VLOOKUP(E75,'HOURLY RATES'!C$6:D$105,2,0)=0,$E$3,VLOOKUP(E75,'HOURLY RATES'!C$6:D$105,2,0))</f>
        <v>54</v>
      </c>
      <c r="N75" s="58">
        <f t="shared" ref="N75" si="47">M75*L75</f>
        <v>6850.4940000000006</v>
      </c>
      <c r="O75" s="61">
        <v>0.4</v>
      </c>
      <c r="P75" s="61">
        <f t="shared" ref="P75" si="48">O75*I75</f>
        <v>2537.2200000000003</v>
      </c>
      <c r="Q75" s="62">
        <f t="shared" ref="Q75" si="49">P75+N75</f>
        <v>9387.7139999999999</v>
      </c>
      <c r="R75" s="155"/>
      <c r="S75" s="131">
        <f t="shared" ref="S75" si="50">((((N75*(1+$D$7))+(P75*(1+$D$5+$D$6)))*(1+$D$8)))/I75</f>
        <v>1.8309463199999998</v>
      </c>
      <c r="T75" s="130">
        <f t="shared" ref="T75" si="51">S75*I75</f>
        <v>11613.784055075999</v>
      </c>
    </row>
    <row r="76" spans="1:20" s="7" customFormat="1" x14ac:dyDescent="0.25">
      <c r="A76" s="152"/>
      <c r="B76" s="50"/>
      <c r="C76" s="63"/>
      <c r="D76" s="100"/>
      <c r="E76" s="178"/>
      <c r="F76" s="103"/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x14ac:dyDescent="0.25">
      <c r="A77" s="152" t="str">
        <f>IF(J77&lt;&gt;"",1+MAX($A$18:A75),"")</f>
        <v/>
      </c>
      <c r="B77" s="50"/>
      <c r="C77" s="63"/>
      <c r="D77" s="100"/>
      <c r="E77" s="178"/>
      <c r="F77" s="172" t="s">
        <v>227</v>
      </c>
      <c r="G77" s="51"/>
      <c r="H77" s="52"/>
      <c r="I77" s="53"/>
      <c r="J77" s="99"/>
      <c r="K77" s="153"/>
      <c r="L77" s="60"/>
      <c r="M77" s="58"/>
      <c r="N77" s="58"/>
      <c r="O77" s="61"/>
      <c r="P77" s="61"/>
      <c r="Q77" s="62"/>
      <c r="R77" s="155"/>
      <c r="S77" s="131"/>
      <c r="T77" s="130"/>
    </row>
    <row r="78" spans="1:20" s="7" customFormat="1" x14ac:dyDescent="0.25">
      <c r="A78" s="152">
        <f>IF(J78&lt;&gt;"",1+MAX($A$18:A77),"")</f>
        <v>36</v>
      </c>
      <c r="B78" s="50"/>
      <c r="C78" s="50"/>
      <c r="D78" s="100" t="s">
        <v>35</v>
      </c>
      <c r="E78" s="178" t="s">
        <v>104</v>
      </c>
      <c r="F78" s="175" t="s">
        <v>748</v>
      </c>
      <c r="G78" s="51">
        <v>29.42</v>
      </c>
      <c r="H78" s="52">
        <f>IF(VLOOKUP(J78,'HOURLY RATES'!B$116:C$124,2,0)=0,$J$3,VLOOKUP(J78,'HOURLY RATES'!B$116:C$124,2,0))</f>
        <v>0.05</v>
      </c>
      <c r="I78" s="53">
        <f t="shared" ref="I78" si="52">(G78*(1+H78))</f>
        <v>30.891000000000002</v>
      </c>
      <c r="J78" s="99" t="s">
        <v>226</v>
      </c>
      <c r="K78" s="153">
        <v>4.3999999999999997E-2</v>
      </c>
      <c r="L78" s="60">
        <f t="shared" ref="L78" si="53">K78*I78</f>
        <v>1.3592040000000001</v>
      </c>
      <c r="M78" s="58">
        <f>IF(VLOOKUP(E78,'HOURLY RATES'!C$6:D$105,2,0)=0,$E$3,VLOOKUP(E78,'HOURLY RATES'!C$6:D$105,2,0))</f>
        <v>54</v>
      </c>
      <c r="N78" s="58">
        <f t="shared" ref="N78" si="54">M78*L78</f>
        <v>73.397016000000008</v>
      </c>
      <c r="O78" s="61">
        <v>1.5</v>
      </c>
      <c r="P78" s="61">
        <f t="shared" ref="P78" si="55">O78*I78</f>
        <v>46.336500000000001</v>
      </c>
      <c r="Q78" s="62">
        <f t="shared" ref="Q78" si="56">P78+N78</f>
        <v>119.73351600000001</v>
      </c>
      <c r="R78" s="155"/>
      <c r="S78" s="131">
        <f>((((N78*(1+$D$7))+(P78*(1+$D$5+$D$6)))*(1+$D$8)))/I78</f>
        <v>4.8271166999999995</v>
      </c>
      <c r="T78" s="130">
        <f t="shared" ref="T78" si="57">S78*I78</f>
        <v>149.1144619797</v>
      </c>
    </row>
    <row r="79" spans="1:20" s="7" customFormat="1" x14ac:dyDescent="0.25">
      <c r="A79" s="152"/>
      <c r="B79" s="50"/>
      <c r="C79" s="63"/>
      <c r="D79" s="100"/>
      <c r="E79" s="178"/>
      <c r="F79" s="103"/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x14ac:dyDescent="0.25">
      <c r="A80" s="152" t="str">
        <f>IF(J80&lt;&gt;"",1+MAX($A$18:A77),"")</f>
        <v/>
      </c>
      <c r="B80" s="50"/>
      <c r="C80" s="63"/>
      <c r="D80" s="100"/>
      <c r="E80" s="178"/>
      <c r="F80" s="172" t="s">
        <v>723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0" s="7" customFormat="1" ht="31.2" x14ac:dyDescent="0.25">
      <c r="A81" s="152">
        <f>IF(J81&lt;&gt;"",1+MAX($A$18:A80),"")</f>
        <v>37</v>
      </c>
      <c r="B81" s="50"/>
      <c r="C81" s="50"/>
      <c r="D81" s="100" t="s">
        <v>35</v>
      </c>
      <c r="E81" s="178" t="s">
        <v>104</v>
      </c>
      <c r="F81" s="175" t="s">
        <v>804</v>
      </c>
      <c r="G81" s="51">
        <v>7</v>
      </c>
      <c r="H81" s="52">
        <f>IF(VLOOKUP(J81,'HOURLY RATES'!B$116:C$124,2,0)=0,$J$3,VLOOKUP(J81,'HOURLY RATES'!B$116:C$124,2,0))</f>
        <v>0</v>
      </c>
      <c r="I81" s="53">
        <f t="shared" ref="I81:I83" si="58">(G81*(1+H81))</f>
        <v>7</v>
      </c>
      <c r="J81" s="99" t="s">
        <v>225</v>
      </c>
      <c r="K81" s="153">
        <v>1.23</v>
      </c>
      <c r="L81" s="60">
        <f t="shared" ref="L81:L83" si="59">K81*I81</f>
        <v>8.61</v>
      </c>
      <c r="M81" s="58">
        <f>IF(VLOOKUP(E81,'HOURLY RATES'!C$6:D$105,2,0)=0,$E$3,VLOOKUP(E81,'HOURLY RATES'!C$6:D$105,2,0))</f>
        <v>54</v>
      </c>
      <c r="N81" s="58">
        <f t="shared" ref="N81:N83" si="60">M81*L81</f>
        <v>464.93999999999994</v>
      </c>
      <c r="O81" s="61">
        <v>28</v>
      </c>
      <c r="P81" s="61">
        <f t="shared" ref="P81:P83" si="61">O81*I81</f>
        <v>196</v>
      </c>
      <c r="Q81" s="62">
        <f t="shared" ref="Q81:Q83" si="62">P81+N81</f>
        <v>660.93999999999994</v>
      </c>
      <c r="R81" s="155"/>
      <c r="S81" s="131">
        <f>((((N81*(1+$D$7))+(P81*(1+$D$5+$D$6)))*(1+$D$8)))/I81</f>
        <v>116.98500239999997</v>
      </c>
      <c r="T81" s="130">
        <f t="shared" ref="T81:T83" si="63">S81*I81</f>
        <v>818.89501679999978</v>
      </c>
    </row>
    <row r="82" spans="1:20" s="7" customFormat="1" ht="31.2" x14ac:dyDescent="0.25">
      <c r="A82" s="152">
        <f>IF(J82&lt;&gt;"",1+MAX($A$18:A81),"")</f>
        <v>38</v>
      </c>
      <c r="B82" s="50"/>
      <c r="C82" s="50"/>
      <c r="D82" s="100" t="s">
        <v>35</v>
      </c>
      <c r="E82" s="178" t="s">
        <v>104</v>
      </c>
      <c r="F82" s="175" t="s">
        <v>805</v>
      </c>
      <c r="G82" s="51">
        <f>G83/2</f>
        <v>166.5</v>
      </c>
      <c r="H82" s="52">
        <f>IF(VLOOKUP(J82,'HOURLY RATES'!B$116:C$124,2,0)=0,$J$3,VLOOKUP(J82,'HOURLY RATES'!B$116:C$124,2,0))</f>
        <v>0.05</v>
      </c>
      <c r="I82" s="53">
        <f t="shared" si="58"/>
        <v>174.82500000000002</v>
      </c>
      <c r="J82" s="99" t="s">
        <v>226</v>
      </c>
      <c r="K82" s="153">
        <v>1.7999999999999999E-2</v>
      </c>
      <c r="L82" s="60">
        <f t="shared" si="59"/>
        <v>3.1468500000000001</v>
      </c>
      <c r="M82" s="58">
        <f>IF(VLOOKUP(E82,'HOURLY RATES'!C$6:D$105,2,0)=0,$E$3,VLOOKUP(E82,'HOURLY RATES'!C$6:D$105,2,0))</f>
        <v>54</v>
      </c>
      <c r="N82" s="58">
        <f t="shared" si="60"/>
        <v>169.9299</v>
      </c>
      <c r="O82" s="61">
        <v>0.8</v>
      </c>
      <c r="P82" s="61">
        <f t="shared" si="61"/>
        <v>139.86000000000001</v>
      </c>
      <c r="Q82" s="62">
        <f t="shared" si="62"/>
        <v>309.78989999999999</v>
      </c>
      <c r="R82" s="155"/>
      <c r="S82" s="131">
        <f>((((N82*(1+$D$7))+(P82*(1+$D$5+$D$6)))*(1+$D$8)))/I82</f>
        <v>2.2149086399999995</v>
      </c>
      <c r="T82" s="130">
        <f t="shared" si="63"/>
        <v>387.22140298799997</v>
      </c>
    </row>
    <row r="83" spans="1:20" s="7" customFormat="1" ht="31.2" x14ac:dyDescent="0.25">
      <c r="A83" s="152">
        <f>IF(J83&lt;&gt;"",1+MAX($A$18:A82),"")</f>
        <v>39</v>
      </c>
      <c r="B83" s="50"/>
      <c r="C83" s="50"/>
      <c r="D83" s="100" t="s">
        <v>35</v>
      </c>
      <c r="E83" s="178" t="s">
        <v>104</v>
      </c>
      <c r="F83" s="175" t="s">
        <v>806</v>
      </c>
      <c r="G83" s="51">
        <v>333</v>
      </c>
      <c r="H83" s="52">
        <f>IF(VLOOKUP(J83,'HOURLY RATES'!B$116:C$124,2,0)=0,$J$3,VLOOKUP(J83,'HOURLY RATES'!B$116:C$124,2,0))</f>
        <v>0.05</v>
      </c>
      <c r="I83" s="53">
        <f t="shared" si="58"/>
        <v>349.65000000000003</v>
      </c>
      <c r="J83" s="99" t="s">
        <v>226</v>
      </c>
      <c r="K83" s="153">
        <v>1.7999999999999999E-2</v>
      </c>
      <c r="L83" s="60">
        <f t="shared" si="59"/>
        <v>6.2937000000000003</v>
      </c>
      <c r="M83" s="58">
        <f>IF(VLOOKUP(E83,'HOURLY RATES'!C$6:D$105,2,0)=0,$E$3,VLOOKUP(E83,'HOURLY RATES'!C$6:D$105,2,0))</f>
        <v>54</v>
      </c>
      <c r="N83" s="58">
        <f t="shared" si="60"/>
        <v>339.85980000000001</v>
      </c>
      <c r="O83" s="61">
        <v>0.8</v>
      </c>
      <c r="P83" s="61">
        <f t="shared" si="61"/>
        <v>279.72000000000003</v>
      </c>
      <c r="Q83" s="62">
        <f t="shared" si="62"/>
        <v>619.57979999999998</v>
      </c>
      <c r="R83" s="155"/>
      <c r="S83" s="131">
        <f>((((N83*(1+$D$7))+(P83*(1+$D$5+$D$6)))*(1+$D$8)))/I83</f>
        <v>2.2149086399999995</v>
      </c>
      <c r="T83" s="130">
        <f t="shared" si="63"/>
        <v>774.44280597599993</v>
      </c>
    </row>
    <row r="84" spans="1:20" s="7" customFormat="1" x14ac:dyDescent="0.25">
      <c r="A84" s="152"/>
      <c r="B84" s="50"/>
      <c r="C84" s="63"/>
      <c r="D84" s="100"/>
      <c r="E84" s="178"/>
      <c r="F84" s="103"/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 t="str">
        <f>IF(J85&lt;&gt;"",1+MAX($A$18:A84),"")</f>
        <v/>
      </c>
      <c r="B85" s="109"/>
      <c r="C85" s="110"/>
      <c r="D85" s="100"/>
      <c r="E85" s="179"/>
      <c r="F85" s="172" t="s">
        <v>725</v>
      </c>
      <c r="G85" s="112"/>
      <c r="H85" s="113"/>
      <c r="I85" s="114"/>
      <c r="J85" s="99"/>
      <c r="K85" s="153"/>
      <c r="L85" s="156"/>
      <c r="M85" s="157"/>
      <c r="N85" s="157"/>
      <c r="O85" s="158"/>
      <c r="P85" s="158"/>
      <c r="Q85" s="159"/>
      <c r="R85" s="155"/>
      <c r="S85" s="131"/>
      <c r="T85" s="130"/>
    </row>
    <row r="86" spans="1:20" s="7" customFormat="1" ht="46.8" x14ac:dyDescent="0.25">
      <c r="A86" s="152">
        <f>IF(J86&lt;&gt;"",1+MAX($A$18:A84),"")</f>
        <v>40</v>
      </c>
      <c r="B86" s="109"/>
      <c r="C86" s="109"/>
      <c r="D86" s="100" t="s">
        <v>35</v>
      </c>
      <c r="E86" s="179" t="s">
        <v>86</v>
      </c>
      <c r="F86" s="176" t="s">
        <v>815</v>
      </c>
      <c r="G86" s="112">
        <v>3315</v>
      </c>
      <c r="H86" s="113">
        <v>0.05</v>
      </c>
      <c r="I86" s="114">
        <f t="shared" ref="I86:I89" si="64">(G86*(1+H86))</f>
        <v>3480.75</v>
      </c>
      <c r="J86" s="99" t="s">
        <v>224</v>
      </c>
      <c r="K86" s="153">
        <v>0.02</v>
      </c>
      <c r="L86" s="156">
        <f t="shared" ref="L86:L89" si="65">K86*I86</f>
        <v>69.614999999999995</v>
      </c>
      <c r="M86" s="58">
        <f>IF(VLOOKUP(E86,'HOURLY RATES'!C$6:D$105,2,0)=0,$E$3,VLOOKUP(E86,'HOURLY RATES'!C$6:D$105,2,0))</f>
        <v>54</v>
      </c>
      <c r="N86" s="157">
        <f t="shared" ref="N86:N89" si="66">M86*L86</f>
        <v>3759.2099999999996</v>
      </c>
      <c r="O86" s="158">
        <v>0.8</v>
      </c>
      <c r="P86" s="158">
        <f t="shared" ref="P86:P89" si="67">O86*I86</f>
        <v>2784.6000000000004</v>
      </c>
      <c r="Q86" s="159">
        <f t="shared" ref="Q86:Q89" si="68">P86+N86</f>
        <v>6543.8099999999995</v>
      </c>
      <c r="R86" s="155"/>
      <c r="S86" s="131">
        <f>((((N86*(1+$D$7))+(P86*(1+$D$5+$D$6)))*(1+$D$8)))/I86</f>
        <v>2.3464526399999999</v>
      </c>
      <c r="T86" s="130">
        <f t="shared" ref="T86:T89" si="69">S86*I86</f>
        <v>8167.4150266799998</v>
      </c>
    </row>
    <row r="87" spans="1:20" s="7" customFormat="1" ht="46.8" x14ac:dyDescent="0.25">
      <c r="A87" s="152">
        <f>IF(J87&lt;&gt;"",1+MAX($A$18:A86),"")</f>
        <v>41</v>
      </c>
      <c r="B87" s="109"/>
      <c r="C87" s="109"/>
      <c r="D87" s="100" t="s">
        <v>35</v>
      </c>
      <c r="E87" s="179" t="s">
        <v>86</v>
      </c>
      <c r="F87" s="176" t="s">
        <v>818</v>
      </c>
      <c r="G87" s="112">
        <v>785</v>
      </c>
      <c r="H87" s="113">
        <v>0.05</v>
      </c>
      <c r="I87" s="114">
        <f t="shared" si="64"/>
        <v>824.25</v>
      </c>
      <c r="J87" s="99" t="s">
        <v>224</v>
      </c>
      <c r="K87" s="153">
        <v>0.02</v>
      </c>
      <c r="L87" s="156">
        <f t="shared" si="65"/>
        <v>16.484999999999999</v>
      </c>
      <c r="M87" s="58">
        <f>IF(VLOOKUP(E87,'HOURLY RATES'!C$6:D$105,2,0)=0,$E$3,VLOOKUP(E87,'HOURLY RATES'!C$6:D$105,2,0))</f>
        <v>54</v>
      </c>
      <c r="N87" s="157">
        <f t="shared" si="66"/>
        <v>890.18999999999994</v>
      </c>
      <c r="O87" s="158">
        <v>0.8</v>
      </c>
      <c r="P87" s="158">
        <f t="shared" si="67"/>
        <v>659.40000000000009</v>
      </c>
      <c r="Q87" s="159">
        <f t="shared" si="68"/>
        <v>1549.5900000000001</v>
      </c>
      <c r="R87" s="155"/>
      <c r="S87" s="131">
        <f>((((N87*(1+$D$7))+(P87*(1+$D$5+$D$6)))*(1+$D$8)))/I87</f>
        <v>2.3464526399999999</v>
      </c>
      <c r="T87" s="130">
        <f t="shared" si="69"/>
        <v>1934.0635885199999</v>
      </c>
    </row>
    <row r="88" spans="1:20" s="7" customFormat="1" ht="46.8" x14ac:dyDescent="0.25">
      <c r="A88" s="152">
        <f>IF(J88&lt;&gt;"",1+MAX($A$18:A86),"")</f>
        <v>41</v>
      </c>
      <c r="B88" s="109"/>
      <c r="C88" s="109"/>
      <c r="D88" s="100" t="s">
        <v>35</v>
      </c>
      <c r="E88" s="179" t="s">
        <v>86</v>
      </c>
      <c r="F88" s="176" t="s">
        <v>814</v>
      </c>
      <c r="G88" s="112">
        <v>700</v>
      </c>
      <c r="H88" s="113">
        <v>0.05</v>
      </c>
      <c r="I88" s="114">
        <f t="shared" si="64"/>
        <v>735</v>
      </c>
      <c r="J88" s="99" t="s">
        <v>226</v>
      </c>
      <c r="K88" s="153">
        <v>1.7999999999999999E-2</v>
      </c>
      <c r="L88" s="156">
        <f t="shared" si="65"/>
        <v>13.229999999999999</v>
      </c>
      <c r="M88" s="58">
        <f>IF(VLOOKUP(E88,'HOURLY RATES'!C$6:D$105,2,0)=0,$E$3,VLOOKUP(E88,'HOURLY RATES'!C$6:D$105,2,0))</f>
        <v>54</v>
      </c>
      <c r="N88" s="157">
        <f t="shared" si="66"/>
        <v>714.42</v>
      </c>
      <c r="O88" s="158">
        <v>0.8</v>
      </c>
      <c r="P88" s="158">
        <f t="shared" si="67"/>
        <v>588</v>
      </c>
      <c r="Q88" s="159">
        <f t="shared" si="68"/>
        <v>1302.42</v>
      </c>
      <c r="R88" s="155"/>
      <c r="S88" s="131">
        <f t="shared" ref="S88:S89" si="70">((((N88*(1+$D$7))+(P88*(1+$D$5+$D$6)))*(1+$D$8)))/I88</f>
        <v>2.2149086399999995</v>
      </c>
      <c r="T88" s="130">
        <f t="shared" si="69"/>
        <v>1627.9578503999996</v>
      </c>
    </row>
    <row r="89" spans="1:20" s="7" customFormat="1" ht="46.8" x14ac:dyDescent="0.25">
      <c r="A89" s="152">
        <f>IF(J89&lt;&gt;"",1+MAX($A$18:A86),"")</f>
        <v>41</v>
      </c>
      <c r="B89" s="109"/>
      <c r="C89" s="109"/>
      <c r="D89" s="100" t="s">
        <v>35</v>
      </c>
      <c r="E89" s="179" t="s">
        <v>86</v>
      </c>
      <c r="F89" s="176" t="s">
        <v>781</v>
      </c>
      <c r="G89" s="112">
        <v>258</v>
      </c>
      <c r="H89" s="113">
        <v>0.05</v>
      </c>
      <c r="I89" s="114">
        <f t="shared" si="64"/>
        <v>270.90000000000003</v>
      </c>
      <c r="J89" s="99" t="s">
        <v>226</v>
      </c>
      <c r="K89" s="153">
        <v>1.7999999999999999E-2</v>
      </c>
      <c r="L89" s="156">
        <f t="shared" si="65"/>
        <v>4.8761999999999999</v>
      </c>
      <c r="M89" s="58">
        <f>IF(VLOOKUP(E89,'HOURLY RATES'!C$6:D$105,2,0)=0,$E$3,VLOOKUP(E89,'HOURLY RATES'!C$6:D$105,2,0))</f>
        <v>54</v>
      </c>
      <c r="N89" s="157">
        <f t="shared" si="66"/>
        <v>263.31479999999999</v>
      </c>
      <c r="O89" s="158">
        <v>0.8</v>
      </c>
      <c r="P89" s="158">
        <f t="shared" si="67"/>
        <v>216.72000000000003</v>
      </c>
      <c r="Q89" s="159">
        <f t="shared" si="68"/>
        <v>480.03480000000002</v>
      </c>
      <c r="R89" s="155"/>
      <c r="S89" s="131">
        <f t="shared" si="70"/>
        <v>2.2149086399999995</v>
      </c>
      <c r="T89" s="130">
        <f t="shared" si="69"/>
        <v>600.018750576</v>
      </c>
    </row>
    <row r="90" spans="1:20" s="7" customFormat="1" x14ac:dyDescent="0.25">
      <c r="A90" s="152" t="str">
        <f>IF(J90&lt;&gt;"",1+MAX($A$18:A89),"")</f>
        <v/>
      </c>
      <c r="B90" s="50"/>
      <c r="C90" s="50"/>
      <c r="D90" s="100"/>
      <c r="E90" s="178"/>
      <c r="F90" s="175" t="s">
        <v>222</v>
      </c>
      <c r="G90" s="51"/>
      <c r="H90" s="52"/>
      <c r="I90" s="53"/>
      <c r="J90" s="99"/>
      <c r="K90" s="153"/>
      <c r="L90" s="60"/>
      <c r="M90" s="58"/>
      <c r="N90" s="58"/>
      <c r="O90" s="61"/>
      <c r="P90" s="61"/>
      <c r="Q90" s="62"/>
      <c r="R90" s="155"/>
      <c r="S90" s="131"/>
      <c r="T90" s="130"/>
    </row>
    <row r="91" spans="1:20" s="7" customFormat="1" ht="18" x14ac:dyDescent="0.25">
      <c r="A91" s="152" t="str">
        <f>IF(J91&lt;&gt;"",1+MAX($A$18:A90),"")</f>
        <v/>
      </c>
      <c r="B91" s="50"/>
      <c r="C91" s="63"/>
      <c r="D91" s="100"/>
      <c r="E91" s="178"/>
      <c r="F91" s="173" t="s">
        <v>720</v>
      </c>
      <c r="G91" s="51"/>
      <c r="H91" s="52"/>
      <c r="I91" s="53"/>
      <c r="J91" s="99"/>
      <c r="K91" s="153"/>
      <c r="L91" s="60"/>
      <c r="M91" s="58"/>
      <c r="N91" s="58"/>
      <c r="O91" s="61"/>
      <c r="P91" s="61"/>
      <c r="Q91" s="62"/>
      <c r="R91" s="155"/>
      <c r="S91" s="131"/>
      <c r="T91" s="130"/>
    </row>
    <row r="92" spans="1:20" s="7" customFormat="1" x14ac:dyDescent="0.25">
      <c r="A92" s="152">
        <f>IF(J92&lt;&gt;"",1+MAX($A$18:A91),"")</f>
        <v>42</v>
      </c>
      <c r="B92" s="50"/>
      <c r="C92" s="63"/>
      <c r="D92" s="100"/>
      <c r="E92" s="178"/>
      <c r="F92" s="177" t="s">
        <v>766</v>
      </c>
      <c r="G92" s="108">
        <v>8</v>
      </c>
      <c r="H92" s="52"/>
      <c r="I92" s="53"/>
      <c r="J92" s="99" t="s">
        <v>225</v>
      </c>
      <c r="K92" s="153"/>
      <c r="L92" s="60"/>
      <c r="M92" s="58"/>
      <c r="N92" s="58"/>
      <c r="O92" s="61"/>
      <c r="P92" s="61"/>
      <c r="Q92" s="62"/>
      <c r="R92" s="155"/>
      <c r="S92" s="131"/>
      <c r="T92" s="130"/>
    </row>
    <row r="93" spans="1:20" s="7" customFormat="1" x14ac:dyDescent="0.25">
      <c r="A93" s="152" t="str">
        <f>IF(J93&lt;&gt;"",1+MAX($A$18:A92),"")</f>
        <v/>
      </c>
      <c r="B93" s="50"/>
      <c r="C93" s="63"/>
      <c r="D93" s="100"/>
      <c r="E93" s="178"/>
      <c r="F93" s="172" t="s">
        <v>722</v>
      </c>
      <c r="G93" s="51"/>
      <c r="H93" s="52"/>
      <c r="I93" s="53"/>
      <c r="J93" s="99"/>
      <c r="K93" s="153"/>
      <c r="L93" s="60"/>
      <c r="M93" s="58"/>
      <c r="N93" s="58"/>
      <c r="O93" s="61"/>
      <c r="P93" s="61"/>
      <c r="Q93" s="62"/>
      <c r="R93" s="155"/>
      <c r="S93" s="131"/>
      <c r="T93" s="130"/>
    </row>
    <row r="94" spans="1:20" s="7" customFormat="1" ht="31.2" x14ac:dyDescent="0.25">
      <c r="A94" s="152">
        <f>IF(J94&lt;&gt;"",1+MAX($A$18:A93),"")</f>
        <v>43</v>
      </c>
      <c r="B94" s="50"/>
      <c r="C94" s="50"/>
      <c r="D94" s="100" t="s">
        <v>35</v>
      </c>
      <c r="E94" s="178" t="s">
        <v>104</v>
      </c>
      <c r="F94" s="175" t="s">
        <v>758</v>
      </c>
      <c r="G94" s="51">
        <f>1225*8</f>
        <v>9800</v>
      </c>
      <c r="H94" s="52">
        <f>IF(VLOOKUP(J94,'HOURLY RATES'!B$116:C$124,2,0)=0,$J$3,VLOOKUP(J94,'HOURLY RATES'!B$116:C$124,2,0))</f>
        <v>0.05</v>
      </c>
      <c r="I94" s="53">
        <f t="shared" ref="I94" si="71">(G94*(1+H94))</f>
        <v>10290</v>
      </c>
      <c r="J94" s="99" t="s">
        <v>224</v>
      </c>
      <c r="K94" s="153">
        <v>2.1999999999999999E-2</v>
      </c>
      <c r="L94" s="60">
        <f t="shared" ref="L94" si="72">K94*I94</f>
        <v>226.38</v>
      </c>
      <c r="M94" s="58">
        <f>IF(VLOOKUP(E94,'HOURLY RATES'!C$6:D$105,2,0)=0,$E$3,VLOOKUP(E94,'HOURLY RATES'!C$6:D$105,2,0))</f>
        <v>54</v>
      </c>
      <c r="N94" s="58">
        <f t="shared" ref="N94" si="73">M94*L94</f>
        <v>12224.52</v>
      </c>
      <c r="O94" s="61">
        <v>0.4</v>
      </c>
      <c r="P94" s="61">
        <f t="shared" ref="P94" si="74">O94*I94</f>
        <v>4116</v>
      </c>
      <c r="Q94" s="62">
        <f t="shared" ref="Q94" si="75">P94+N94</f>
        <v>16340.52</v>
      </c>
      <c r="R94" s="155"/>
      <c r="S94" s="131">
        <f>((((N94*(1+$D$7))+(P94*(1+$D$5+$D$6)))*(1+$D$8)))/I94</f>
        <v>1.9624903199999999</v>
      </c>
      <c r="T94" s="130">
        <f t="shared" ref="T94" si="76">S94*I94</f>
        <v>20194.025392799998</v>
      </c>
    </row>
    <row r="95" spans="1:20" s="7" customFormat="1" x14ac:dyDescent="0.25">
      <c r="A95" s="152"/>
      <c r="B95" s="50"/>
      <c r="C95" s="63"/>
      <c r="D95" s="100"/>
      <c r="E95" s="178"/>
      <c r="F95" s="103"/>
      <c r="G95" s="51"/>
      <c r="H95" s="52"/>
      <c r="I95" s="53"/>
      <c r="J95" s="99"/>
      <c r="K95" s="153"/>
      <c r="L95" s="60"/>
      <c r="M95" s="58"/>
      <c r="N95" s="58"/>
      <c r="O95" s="61"/>
      <c r="P95" s="61"/>
      <c r="Q95" s="62"/>
      <c r="R95" s="155"/>
      <c r="S95" s="131"/>
      <c r="T95" s="130"/>
    </row>
    <row r="96" spans="1:20" s="7" customFormat="1" x14ac:dyDescent="0.25">
      <c r="A96" s="152" t="str">
        <f>IF(J96&lt;&gt;"",1+MAX($A$18:A94),"")</f>
        <v/>
      </c>
      <c r="B96" s="50"/>
      <c r="C96" s="63"/>
      <c r="D96" s="100"/>
      <c r="E96" s="178"/>
      <c r="F96" s="172" t="s">
        <v>719</v>
      </c>
      <c r="G96" s="51"/>
      <c r="H96" s="52"/>
      <c r="I96" s="53"/>
      <c r="J96" s="99"/>
      <c r="K96" s="153"/>
      <c r="L96" s="60"/>
      <c r="M96" s="58"/>
      <c r="N96" s="58"/>
      <c r="O96" s="61"/>
      <c r="P96" s="61"/>
      <c r="Q96" s="62"/>
      <c r="R96" s="155"/>
      <c r="S96" s="131"/>
      <c r="T96" s="130"/>
    </row>
    <row r="97" spans="1:22" s="7" customFormat="1" ht="31.2" x14ac:dyDescent="0.25">
      <c r="A97" s="152">
        <f>IF(J97&lt;&gt;"",1+MAX($A$18:A96),"")</f>
        <v>44</v>
      </c>
      <c r="B97" s="50"/>
      <c r="C97" s="50"/>
      <c r="D97" s="100" t="s">
        <v>35</v>
      </c>
      <c r="E97" s="178" t="s">
        <v>104</v>
      </c>
      <c r="F97" s="175" t="s">
        <v>760</v>
      </c>
      <c r="G97" s="51">
        <f>320*8</f>
        <v>2560</v>
      </c>
      <c r="H97" s="52">
        <f>IF(VLOOKUP(J97,'HOURLY RATES'!B$116:C$124,2,0)=0,$J$3,VLOOKUP(J97,'HOURLY RATES'!B$116:C$124,2,0))</f>
        <v>0.05</v>
      </c>
      <c r="I97" s="53">
        <f t="shared" ref="I97:I101" si="77">(G97*(1+H97))</f>
        <v>2688</v>
      </c>
      <c r="J97" s="99" t="s">
        <v>226</v>
      </c>
      <c r="K97" s="153">
        <v>1.7999999999999999E-2</v>
      </c>
      <c r="L97" s="60">
        <f t="shared" ref="L97" si="78">K97*I97</f>
        <v>48.383999999999993</v>
      </c>
      <c r="M97" s="58">
        <f>IF(VLOOKUP(E97,'HOURLY RATES'!C$6:D$105,2,0)=0,$E$3,VLOOKUP(E97,'HOURLY RATES'!C$6:D$105,2,0))</f>
        <v>54</v>
      </c>
      <c r="N97" s="58">
        <f t="shared" ref="N97" si="79">M97*L97</f>
        <v>2612.7359999999994</v>
      </c>
      <c r="O97" s="61">
        <v>0.8</v>
      </c>
      <c r="P97" s="61">
        <f t="shared" ref="P97:P101" si="80">O97*I97</f>
        <v>2150.4</v>
      </c>
      <c r="Q97" s="62">
        <f t="shared" ref="Q97:Q101" si="81">P97+N97</f>
        <v>4763.1359999999995</v>
      </c>
      <c r="R97" s="155"/>
      <c r="S97" s="131">
        <f>((((N97*(1+$D$7))+(P97*(1+$D$5+$D$6)))*(1+$D$8)))/I97</f>
        <v>2.2149086399999995</v>
      </c>
      <c r="T97" s="130">
        <f t="shared" ref="T97:T101" si="82">S97*I97</f>
        <v>5953.6744243199992</v>
      </c>
    </row>
    <row r="98" spans="1:22" s="7" customFormat="1" x14ac:dyDescent="0.25">
      <c r="A98" s="152"/>
      <c r="B98" s="50"/>
      <c r="C98" s="63"/>
      <c r="D98" s="100"/>
      <c r="E98" s="178"/>
      <c r="F98" s="103"/>
      <c r="G98" s="51"/>
      <c r="H98" s="52"/>
      <c r="I98" s="53"/>
      <c r="J98" s="99"/>
      <c r="K98" s="153"/>
      <c r="L98" s="60"/>
      <c r="M98" s="58"/>
      <c r="N98" s="58"/>
      <c r="O98" s="61"/>
      <c r="P98" s="61"/>
      <c r="Q98" s="62"/>
      <c r="R98" s="155"/>
      <c r="S98" s="131"/>
      <c r="T98" s="130"/>
    </row>
    <row r="99" spans="1:22" s="7" customFormat="1" x14ac:dyDescent="0.25">
      <c r="A99" s="152" t="str">
        <f>IF(J99&lt;&gt;"",1+MAX($A$18:A97),"")</f>
        <v/>
      </c>
      <c r="B99" s="50"/>
      <c r="C99" s="63"/>
      <c r="D99" s="100"/>
      <c r="E99" s="178"/>
      <c r="F99" s="172" t="s">
        <v>223</v>
      </c>
      <c r="G99" s="51"/>
      <c r="H99" s="52"/>
      <c r="I99" s="53"/>
      <c r="J99" s="99"/>
      <c r="K99" s="153"/>
      <c r="L99" s="60"/>
      <c r="M99" s="58"/>
      <c r="N99" s="58"/>
      <c r="O99" s="61"/>
      <c r="P99" s="61"/>
      <c r="Q99" s="62"/>
      <c r="R99" s="155"/>
      <c r="S99" s="131"/>
      <c r="T99" s="130"/>
    </row>
    <row r="100" spans="1:22" s="7" customFormat="1" ht="31.2" x14ac:dyDescent="0.25">
      <c r="A100" s="152">
        <f>IF(J100&lt;&gt;"",1+MAX($A$18:A98),"")</f>
        <v>45</v>
      </c>
      <c r="B100" s="50"/>
      <c r="C100" s="50"/>
      <c r="D100" s="100" t="s">
        <v>35</v>
      </c>
      <c r="E100" s="178" t="s">
        <v>104</v>
      </c>
      <c r="F100" s="175" t="s">
        <v>757</v>
      </c>
      <c r="G100" s="51">
        <f>2528*8</f>
        <v>20224</v>
      </c>
      <c r="H100" s="52">
        <f>IF(VLOOKUP(J100,'HOURLY RATES'!B$116:C$124,2,0)=0,$J$3,VLOOKUP(J100,'HOURLY RATES'!B$116:C$124,2,0))</f>
        <v>0.05</v>
      </c>
      <c r="I100" s="53">
        <f t="shared" ref="I100" si="83">(G100*(1+H100))</f>
        <v>21235.200000000001</v>
      </c>
      <c r="J100" s="99" t="s">
        <v>224</v>
      </c>
      <c r="K100" s="153">
        <v>0.02</v>
      </c>
      <c r="L100" s="60">
        <f t="shared" ref="L100:L101" si="84">K100*I100</f>
        <v>424.70400000000001</v>
      </c>
      <c r="M100" s="58">
        <f>IF(VLOOKUP(E100,'HOURLY RATES'!C$6:D$105,2,0)=0,$E$3,VLOOKUP(E100,'HOURLY RATES'!C$6:D$105,2,0))</f>
        <v>54</v>
      </c>
      <c r="N100" s="58">
        <f t="shared" ref="N100:N101" si="85">M100*L100</f>
        <v>22934.016</v>
      </c>
      <c r="O100" s="61">
        <v>0.4</v>
      </c>
      <c r="P100" s="61">
        <f t="shared" ref="P100" si="86">O100*I100</f>
        <v>8494.08</v>
      </c>
      <c r="Q100" s="62">
        <f t="shared" ref="Q100" si="87">P100+N100</f>
        <v>31428.095999999998</v>
      </c>
      <c r="R100" s="155"/>
      <c r="S100" s="131">
        <f>((((N100*(1+$D$7))+(P100*(1+$D$5+$D$6)))*(1+$D$8)))/I100</f>
        <v>1.8309463199999996</v>
      </c>
      <c r="T100" s="130">
        <f t="shared" ref="T100" si="88">S100*I100</f>
        <v>38880.511294463991</v>
      </c>
    </row>
    <row r="101" spans="1:22" s="7" customFormat="1" ht="31.2" x14ac:dyDescent="0.25">
      <c r="A101" s="152">
        <f>IF(J101&lt;&gt;"",1+MAX($A$18:A99),"")</f>
        <v>45</v>
      </c>
      <c r="B101" s="50"/>
      <c r="C101" s="50"/>
      <c r="D101" s="100" t="s">
        <v>35</v>
      </c>
      <c r="E101" s="178" t="s">
        <v>104</v>
      </c>
      <c r="F101" s="175" t="s">
        <v>759</v>
      </c>
      <c r="G101" s="51">
        <f>453*8</f>
        <v>3624</v>
      </c>
      <c r="H101" s="52">
        <f>IF(VLOOKUP(J101,'HOURLY RATES'!B$116:C$124,2,0)=0,$J$3,VLOOKUP(J101,'HOURLY RATES'!B$116:C$124,2,0))</f>
        <v>0.05</v>
      </c>
      <c r="I101" s="53">
        <f t="shared" si="77"/>
        <v>3805.2000000000003</v>
      </c>
      <c r="J101" s="99" t="s">
        <v>224</v>
      </c>
      <c r="K101" s="153">
        <v>0.02</v>
      </c>
      <c r="L101" s="60">
        <f t="shared" si="84"/>
        <v>76.104000000000013</v>
      </c>
      <c r="M101" s="58">
        <f>IF(VLOOKUP(E101,'HOURLY RATES'!C$6:D$105,2,0)=0,$E$3,VLOOKUP(E101,'HOURLY RATES'!C$6:D$105,2,0))</f>
        <v>54</v>
      </c>
      <c r="N101" s="58">
        <f t="shared" si="85"/>
        <v>4109.6160000000009</v>
      </c>
      <c r="O101" s="61">
        <v>0.4</v>
      </c>
      <c r="P101" s="61">
        <f t="shared" si="80"/>
        <v>1522.0800000000002</v>
      </c>
      <c r="Q101" s="62">
        <f t="shared" si="81"/>
        <v>5631.6960000000008</v>
      </c>
      <c r="R101" s="155"/>
      <c r="S101" s="131">
        <f>((((N101*(1+$D$7))+(P101*(1+$D$5+$D$6)))*(1+$D$8)))/I101</f>
        <v>1.83094632</v>
      </c>
      <c r="T101" s="130">
        <f t="shared" si="82"/>
        <v>6967.1169368640003</v>
      </c>
    </row>
    <row r="102" spans="1:22" s="7" customFormat="1" x14ac:dyDescent="0.25">
      <c r="A102" s="152"/>
      <c r="B102" s="50"/>
      <c r="C102" s="63"/>
      <c r="D102" s="100"/>
      <c r="E102" s="178"/>
      <c r="F102" s="103"/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2" s="7" customFormat="1" x14ac:dyDescent="0.25">
      <c r="A103" s="152" t="str">
        <f>IF(J103&lt;&gt;"",1+MAX($A$18:A101),"")</f>
        <v/>
      </c>
      <c r="B103" s="50"/>
      <c r="C103" s="63"/>
      <c r="D103" s="100"/>
      <c r="E103" s="178"/>
      <c r="F103" s="172" t="s">
        <v>723</v>
      </c>
      <c r="G103" s="51"/>
      <c r="H103" s="52"/>
      <c r="I103" s="53"/>
      <c r="J103" s="99"/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2" s="7" customFormat="1" ht="46.8" x14ac:dyDescent="0.25">
      <c r="A104" s="152">
        <f>IF(J104&lt;&gt;"",1+MAX($A$18:A103),"")</f>
        <v>46</v>
      </c>
      <c r="B104" s="50"/>
      <c r="C104" s="50"/>
      <c r="D104" s="100" t="s">
        <v>35</v>
      </c>
      <c r="E104" s="178" t="s">
        <v>104</v>
      </c>
      <c r="F104" s="175" t="s">
        <v>727</v>
      </c>
      <c r="G104" s="51">
        <f>12*8</f>
        <v>96</v>
      </c>
      <c r="H104" s="52">
        <f>IF(VLOOKUP(J104,'HOURLY RATES'!B$116:C$124,2,0)=0,$J$3,VLOOKUP(J104,'HOURLY RATES'!B$116:C$124,2,0))</f>
        <v>0</v>
      </c>
      <c r="I104" s="53">
        <f t="shared" ref="I104" si="89">(G104*(1+H104))</f>
        <v>96</v>
      </c>
      <c r="J104" s="99" t="s">
        <v>225</v>
      </c>
      <c r="K104" s="153">
        <v>1.23</v>
      </c>
      <c r="L104" s="60">
        <f t="shared" ref="L104:L105" si="90">K104*I104</f>
        <v>118.08</v>
      </c>
      <c r="M104" s="58">
        <f>IF(VLOOKUP(E104,'HOURLY RATES'!C$6:D$105,2,0)=0,$E$3,VLOOKUP(E104,'HOURLY RATES'!C$6:D$105,2,0))</f>
        <v>54</v>
      </c>
      <c r="N104" s="58">
        <f t="shared" ref="N104:N105" si="91">M104*L104</f>
        <v>6376.32</v>
      </c>
      <c r="O104" s="61">
        <v>28</v>
      </c>
      <c r="P104" s="61">
        <f t="shared" ref="P104:P105" si="92">O104*I104</f>
        <v>2688</v>
      </c>
      <c r="Q104" s="62">
        <f t="shared" ref="Q104:Q105" si="93">P104+N104</f>
        <v>9064.32</v>
      </c>
      <c r="R104" s="155"/>
      <c r="S104" s="131">
        <f>((((N104*(1+$D$7))+(P104*(1+$D$5+$D$6)))*(1+$D$8)))/I104</f>
        <v>116.98500239999997</v>
      </c>
      <c r="T104" s="130">
        <f t="shared" ref="T104:T105" si="94">S104*I104</f>
        <v>11230.560230399997</v>
      </c>
    </row>
    <row r="105" spans="1:22" s="7" customFormat="1" ht="46.8" x14ac:dyDescent="0.25">
      <c r="A105" s="152">
        <f>IF(J105&lt;&gt;"",1+MAX($A$18:A104),"")</f>
        <v>47</v>
      </c>
      <c r="B105" s="50"/>
      <c r="C105" s="50"/>
      <c r="D105" s="100" t="s">
        <v>35</v>
      </c>
      <c r="E105" s="178" t="s">
        <v>104</v>
      </c>
      <c r="F105" s="175" t="s">
        <v>728</v>
      </c>
      <c r="G105" s="51">
        <f>12*8</f>
        <v>96</v>
      </c>
      <c r="H105" s="52">
        <f>IF(VLOOKUP(J105,'HOURLY RATES'!B$116:C$124,2,0)=0,$J$3,VLOOKUP(J105,'HOURLY RATES'!B$116:C$124,2,0))</f>
        <v>0</v>
      </c>
      <c r="I105" s="53">
        <f t="shared" ref="I105" si="95">(G105*(1+H105))</f>
        <v>96</v>
      </c>
      <c r="J105" s="99" t="s">
        <v>225</v>
      </c>
      <c r="K105" s="153">
        <v>1.7999999999999999E-2</v>
      </c>
      <c r="L105" s="60">
        <f t="shared" si="90"/>
        <v>1.7279999999999998</v>
      </c>
      <c r="M105" s="58">
        <f>IF(VLOOKUP(E105,'HOURLY RATES'!C$6:D$105,2,0)=0,$E$3,VLOOKUP(E105,'HOURLY RATES'!C$6:D$105,2,0))</f>
        <v>54</v>
      </c>
      <c r="N105" s="58">
        <f t="shared" si="91"/>
        <v>93.311999999999983</v>
      </c>
      <c r="O105" s="61">
        <v>0.8</v>
      </c>
      <c r="P105" s="61">
        <f t="shared" si="92"/>
        <v>76.800000000000011</v>
      </c>
      <c r="Q105" s="62">
        <f t="shared" si="93"/>
        <v>170.11199999999999</v>
      </c>
      <c r="R105" s="155"/>
      <c r="S105" s="131">
        <f>((((N105*(1+$D$7))+(P105*(1+$D$5+$D$6)))*(1+$D$8)))/I105</f>
        <v>2.2149086399999995</v>
      </c>
      <c r="T105" s="130">
        <f t="shared" si="94"/>
        <v>212.63122943999997</v>
      </c>
    </row>
    <row r="106" spans="1:22" s="7" customFormat="1" x14ac:dyDescent="0.25">
      <c r="A106" s="215" t="str">
        <f>IF(J106&lt;&gt;"",1+MAX($A$18:A105),"")</f>
        <v/>
      </c>
      <c r="B106" s="225"/>
      <c r="C106" s="225"/>
      <c r="D106" s="101"/>
      <c r="E106" s="226"/>
      <c r="F106" s="227"/>
      <c r="G106" s="228"/>
      <c r="H106" s="229"/>
      <c r="I106" s="230"/>
      <c r="J106" s="102"/>
      <c r="K106" s="76"/>
      <c r="L106" s="231"/>
      <c r="M106" s="73"/>
      <c r="N106" s="232"/>
      <c r="O106" s="233"/>
      <c r="P106" s="233"/>
      <c r="Q106" s="234"/>
      <c r="R106" s="155"/>
      <c r="S106" s="131"/>
      <c r="T106" s="130"/>
    </row>
    <row r="107" spans="1:22" s="7" customFormat="1" x14ac:dyDescent="0.25">
      <c r="A107" s="304" t="s">
        <v>54</v>
      </c>
      <c r="B107" s="304"/>
      <c r="C107" s="305"/>
      <c r="D107" s="306"/>
      <c r="E107" s="306"/>
      <c r="F107" s="306"/>
      <c r="G107" s="306"/>
      <c r="H107" s="306"/>
      <c r="I107" s="306"/>
      <c r="J107" s="307"/>
      <c r="K107" s="236" t="s">
        <v>228</v>
      </c>
      <c r="L107" s="237">
        <f>SUM(L18:L106)</f>
        <v>1354.173841668023</v>
      </c>
      <c r="M107" s="235" t="s">
        <v>229</v>
      </c>
      <c r="N107" s="238">
        <f>SUM(N18:N106)</f>
        <v>73125.387450073235</v>
      </c>
      <c r="O107" s="235" t="s">
        <v>230</v>
      </c>
      <c r="P107" s="238">
        <f>SUM(P18:P106)</f>
        <v>27901.7965</v>
      </c>
      <c r="Q107" s="239">
        <f>SUM(Q18:Q106)</f>
        <v>101027.18395007323</v>
      </c>
      <c r="R107" s="239">
        <f>SUM(R18:R106)</f>
        <v>101027.18395007325</v>
      </c>
      <c r="S107" s="132"/>
      <c r="T107" s="133">
        <f>SUM(T18:T106)</f>
        <v>125025.60300194887</v>
      </c>
      <c r="U107" s="1"/>
      <c r="V107" s="1"/>
    </row>
    <row r="108" spans="1:22" s="7" customFormat="1" ht="16.2" thickBot="1" x14ac:dyDescent="0.3">
      <c r="A108" s="302" t="s">
        <v>55</v>
      </c>
      <c r="B108" s="303"/>
      <c r="C108" s="38"/>
      <c r="D108" s="38"/>
      <c r="E108" s="105"/>
      <c r="F108" s="39"/>
      <c r="G108" s="40"/>
      <c r="H108" s="40"/>
      <c r="I108" s="40"/>
      <c r="J108" s="38"/>
      <c r="K108" s="38"/>
      <c r="L108" s="38"/>
      <c r="M108" s="77">
        <f>D5</f>
        <v>6.9720000000000004E-2</v>
      </c>
      <c r="N108" s="78"/>
      <c r="O108" s="78"/>
      <c r="P108" s="78">
        <f>P107*M108</f>
        <v>1945.3132519800001</v>
      </c>
      <c r="Q108" s="78">
        <f>P108+N108</f>
        <v>1945.3132519800001</v>
      </c>
      <c r="R108" s="160">
        <f>Q108</f>
        <v>1945.3132519800001</v>
      </c>
      <c r="S108" s="132"/>
      <c r="T108" s="132"/>
      <c r="U108" s="1"/>
      <c r="V108" s="1"/>
    </row>
    <row r="109" spans="1:22" s="7" customFormat="1" ht="16.8" thickTop="1" thickBot="1" x14ac:dyDescent="0.3">
      <c r="A109" s="161" t="s">
        <v>231</v>
      </c>
      <c r="B109" s="47"/>
      <c r="C109" s="41"/>
      <c r="D109" s="41"/>
      <c r="E109" s="42"/>
      <c r="F109" s="43"/>
      <c r="G109" s="44"/>
      <c r="H109" s="44"/>
      <c r="I109" s="44"/>
      <c r="J109" s="41"/>
      <c r="K109" s="41"/>
      <c r="L109" s="41"/>
      <c r="M109" s="48">
        <f>D6</f>
        <v>0.2</v>
      </c>
      <c r="N109" s="46"/>
      <c r="O109" s="46"/>
      <c r="P109" s="46">
        <f>P107*M109</f>
        <v>5580.3593000000001</v>
      </c>
      <c r="Q109" s="46">
        <f>P109+N109</f>
        <v>5580.3593000000001</v>
      </c>
      <c r="R109" s="162">
        <f>Q109</f>
        <v>5580.3593000000001</v>
      </c>
      <c r="S109" s="132"/>
      <c r="T109" s="132"/>
      <c r="U109" s="1"/>
      <c r="V109" s="1"/>
    </row>
    <row r="110" spans="1:22" s="7" customFormat="1" ht="16.8" thickTop="1" thickBot="1" x14ac:dyDescent="0.3">
      <c r="A110" s="161" t="s">
        <v>232</v>
      </c>
      <c r="B110" s="47"/>
      <c r="C110" s="41"/>
      <c r="D110" s="41"/>
      <c r="E110" s="42"/>
      <c r="F110" s="43"/>
      <c r="G110" s="44"/>
      <c r="H110" s="44"/>
      <c r="I110" s="44"/>
      <c r="J110" s="41"/>
      <c r="K110" s="41"/>
      <c r="L110" s="41"/>
      <c r="M110" s="48">
        <f>D7</f>
        <v>0.2</v>
      </c>
      <c r="N110" s="46">
        <f>N107*M110</f>
        <v>14625.077490014648</v>
      </c>
      <c r="O110" s="46"/>
      <c r="P110" s="46"/>
      <c r="Q110" s="46">
        <f>P110+N110</f>
        <v>14625.077490014648</v>
      </c>
      <c r="R110" s="162">
        <f>Q110</f>
        <v>14625.077490014648</v>
      </c>
      <c r="S110" s="132"/>
      <c r="T110" s="132"/>
      <c r="U110" s="1"/>
      <c r="V110" s="1"/>
    </row>
    <row r="111" spans="1:22" s="7" customFormat="1" ht="16.8" thickTop="1" thickBot="1" x14ac:dyDescent="0.3">
      <c r="A111" s="300" t="s">
        <v>233</v>
      </c>
      <c r="B111" s="301"/>
      <c r="C111" s="41"/>
      <c r="D111" s="41"/>
      <c r="E111" s="42"/>
      <c r="F111" s="43"/>
      <c r="G111" s="44"/>
      <c r="H111" s="44"/>
      <c r="I111" s="44"/>
      <c r="J111" s="41"/>
      <c r="K111" s="41"/>
      <c r="L111" s="41"/>
      <c r="M111" s="45">
        <f>D8</f>
        <v>1.4999999999999999E-2</v>
      </c>
      <c r="N111" s="46">
        <f>(N107+N108+N109+N110)*M111</f>
        <v>1316.2569741013183</v>
      </c>
      <c r="O111" s="46"/>
      <c r="P111" s="46">
        <f>(P107+P108+P109+P110)*M111</f>
        <v>531.41203577970009</v>
      </c>
      <c r="Q111" s="46">
        <f>P111+N111</f>
        <v>1847.6690098810184</v>
      </c>
      <c r="R111" s="162">
        <f>Q111</f>
        <v>1847.6690098810184</v>
      </c>
      <c r="S111" s="132"/>
      <c r="T111" s="132"/>
      <c r="U111" s="1"/>
      <c r="V111" s="1"/>
    </row>
    <row r="112" spans="1:22" s="7" customFormat="1" ht="16.2" thickTop="1" x14ac:dyDescent="0.25">
      <c r="A112" s="298" t="s">
        <v>56</v>
      </c>
      <c r="B112" s="299"/>
      <c r="C112" s="163"/>
      <c r="D112" s="163"/>
      <c r="E112" s="164"/>
      <c r="F112" s="165"/>
      <c r="G112" s="166"/>
      <c r="H112" s="166"/>
      <c r="I112" s="166"/>
      <c r="J112" s="163"/>
      <c r="K112" s="163"/>
      <c r="L112" s="163"/>
      <c r="M112" s="167"/>
      <c r="N112" s="168">
        <f>SUM(N107:N111)</f>
        <v>89066.721914189198</v>
      </c>
      <c r="O112" s="167"/>
      <c r="P112" s="168">
        <f>SUM(P107:P111)</f>
        <v>35958.881087759706</v>
      </c>
      <c r="Q112" s="168">
        <f>SUM(Q107:Q111)</f>
        <v>125025.6030019489</v>
      </c>
      <c r="R112" s="169">
        <f>SUM(R107:R111)</f>
        <v>125025.60300194891</v>
      </c>
      <c r="S112" s="132"/>
      <c r="T112" s="133">
        <f>T107</f>
        <v>125025.60300194887</v>
      </c>
      <c r="U112" s="1"/>
      <c r="V112" s="1"/>
    </row>
  </sheetData>
  <autoFilter ref="J1:J112" xr:uid="{00000000-0001-0000-0300-000000000000}"/>
  <mergeCells count="8">
    <mergeCell ref="A111:B111"/>
    <mergeCell ref="A112:B112"/>
    <mergeCell ref="A2:R2"/>
    <mergeCell ref="B3:E3"/>
    <mergeCell ref="E16:F16"/>
    <mergeCell ref="A107:B107"/>
    <mergeCell ref="C107:J107"/>
    <mergeCell ref="A108:B108"/>
  </mergeCells>
  <dataValidations count="1">
    <dataValidation type="list" allowBlank="1" showInputMessage="1" showErrorMessage="1" sqref="E63" xr:uid="{ED2CC27A-10C1-4E5B-9ABB-64815932181F}">
      <formula1>#REF!</formula1>
    </dataValidation>
  </dataValidations>
  <hyperlinks>
    <hyperlink ref="D3:E3" location="'COST SUMMARY'!A1" display="CLICK HERE TO GO BACK TO COST SUMMARY" xr:uid="{F87DDDBD-26FB-4671-8DA1-6D62A11EC1D9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CF5EC36-FE56-421E-985C-71825E2DD2CE}">
          <x14:formula1>
            <xm:f>'HOURLY RATES'!$B$116:$B$126</xm:f>
          </x14:formula1>
          <xm:sqref>J19:J84 J86:J105</xm:sqref>
        </x14:dataValidation>
        <x14:dataValidation type="list" allowBlank="1" showInputMessage="1" showErrorMessage="1" xr:uid="{A7C1CBC9-BB99-4243-8224-8C589C04203E}">
          <x14:formula1>
            <xm:f>'HOURLY RATES'!$C$6:$C$105</xm:f>
          </x14:formula1>
          <xm:sqref>E21:E32 E60:E62 E54:E57 E47:E51 E34:E36 E39:E44 E90:E105 E65:E84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F5C45-231B-44D2-A2E3-DB6BD87386F9}">
  <sheetPr>
    <tabColor theme="5" tint="-0.499984740745262"/>
    <pageSetUpPr fitToPage="1"/>
  </sheetPr>
  <dimension ref="A1:V112"/>
  <sheetViews>
    <sheetView zoomScale="40" zoomScaleNormal="40" zoomScaleSheetLayoutView="70" workbookViewId="0">
      <pane ySplit="1" topLeftCell="A2" activePane="bottomLeft" state="frozen"/>
      <selection pane="bottomLeft" activeCell="F23" sqref="F23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Q107</f>
        <v>101027.18395007323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P107*D5</f>
        <v>1945.3132519800001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P107*D6</f>
        <v>5580.3593000000001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N107*D7</f>
        <v>14625.077490014648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1847.6690098810182</v>
      </c>
      <c r="F8" s="185" t="s">
        <v>181</v>
      </c>
      <c r="G8" s="120"/>
      <c r="H8" s="184"/>
      <c r="I8" s="137"/>
      <c r="J8" s="138"/>
      <c r="K8" s="142" t="s">
        <v>831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125025.6030019489</v>
      </c>
      <c r="F9" s="95"/>
      <c r="G9" s="120"/>
      <c r="H9" s="184"/>
      <c r="I9" s="137"/>
      <c r="J9" s="143" t="s">
        <v>183</v>
      </c>
      <c r="K9" s="26">
        <v>5281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5281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8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811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7071.5693340732396</v>
      </c>
      <c r="S18" s="129">
        <f>U18</f>
        <v>93955.614616000006</v>
      </c>
      <c r="T18" s="130"/>
      <c r="U18" s="13">
        <f>SUM(Q67:Q106)</f>
        <v>93955.614616000006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17.399187891851852</v>
      </c>
      <c r="L27" s="60">
        <f t="shared" si="3"/>
        <v>17.399187891851852</v>
      </c>
      <c r="M27" s="58">
        <f>IF(VLOOKUP(E27,'HOURLY RATES'!C$6:D$105,2,0)=0,$E$3,VLOOKUP(E27,'HOURLY RATES'!C$6:D$105,2,0))</f>
        <v>54</v>
      </c>
      <c r="N27" s="58">
        <f t="shared" si="4"/>
        <v>939.55614616000003</v>
      </c>
      <c r="O27" s="61"/>
      <c r="P27" s="61">
        <f t="shared" si="0"/>
        <v>0</v>
      </c>
      <c r="Q27" s="62">
        <f t="shared" si="5"/>
        <v>939.55614616000003</v>
      </c>
      <c r="R27" s="151"/>
      <c r="S27" s="131">
        <f t="shared" si="1"/>
        <v>1144.3793860228798</v>
      </c>
      <c r="T27" s="130">
        <f t="shared" si="6"/>
        <v>1144.3793860228798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10.021932225706667</v>
      </c>
      <c r="L34" s="60">
        <f t="shared" ref="L34:L36" si="8">K34*I34</f>
        <v>10.021932225706667</v>
      </c>
      <c r="M34" s="58">
        <f>IF(VLOOKUP(E34,'HOURLY RATES'!C$6:D$105,2,0)=0,$E$3,VLOOKUP(E34,'HOURLY RATES'!C$6:D$105,2,0))</f>
        <v>54</v>
      </c>
      <c r="N34" s="58">
        <f t="shared" ref="N34:N36" si="9">M34*L34</f>
        <v>541.18434018816004</v>
      </c>
      <c r="O34" s="61"/>
      <c r="P34" s="61">
        <f t="shared" ref="P34:P36" si="10">O34*I34</f>
        <v>0</v>
      </c>
      <c r="Q34" s="62">
        <f t="shared" ref="Q34:Q36" si="11">P34+N34</f>
        <v>541.18434018816004</v>
      </c>
      <c r="R34" s="151"/>
      <c r="S34" s="131">
        <f>((((N34*(1+$D$7))+(P34*(1+$D$5+$D$6)))*(1+$D$8)))/I34</f>
        <v>659.16252634917885</v>
      </c>
      <c r="T34" s="130">
        <f t="shared" ref="T34:T36" si="12">S34*I34</f>
        <v>659.16252634917885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20.017765669575557</v>
      </c>
      <c r="L36" s="60">
        <f t="shared" si="8"/>
        <v>20.017765669575557</v>
      </c>
      <c r="M36" s="58">
        <f>IF(VLOOKUP(E36,'HOURLY RATES'!C$6:D$105,2,0)=0,$E$3,VLOOKUP(E36,'HOURLY RATES'!C$6:D$105,2,0))</f>
        <v>54</v>
      </c>
      <c r="N36" s="58">
        <f t="shared" si="9"/>
        <v>1080.9593461570801</v>
      </c>
      <c r="O36" s="61"/>
      <c r="P36" s="61">
        <f t="shared" si="10"/>
        <v>0</v>
      </c>
      <c r="Q36" s="62">
        <f t="shared" si="11"/>
        <v>1080.9593461570801</v>
      </c>
      <c r="R36" s="151"/>
      <c r="S36" s="131">
        <f>((((N36*(1+$D$7))+(P36*(1+$D$5+$D$6)))*(1+$D$8)))/I36</f>
        <v>1316.6084836193234</v>
      </c>
      <c r="T36" s="130">
        <f t="shared" si="12"/>
        <v>1316.6084836193234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38.278213362074077</v>
      </c>
      <c r="L44" s="60">
        <f t="shared" si="14"/>
        <v>38.278213362074077</v>
      </c>
      <c r="M44" s="58">
        <f>IF(VLOOKUP(E44,'HOURLY RATES'!C$6:D$105,2,0)=0,$E$3,VLOOKUP(E44,'HOURLY RATES'!C$6:D$105,2,0))</f>
        <v>54</v>
      </c>
      <c r="N44" s="58">
        <f t="shared" si="15"/>
        <v>2067.0235215520001</v>
      </c>
      <c r="O44" s="61"/>
      <c r="P44" s="61">
        <f t="shared" si="16"/>
        <v>0</v>
      </c>
      <c r="Q44" s="62">
        <f t="shared" si="5"/>
        <v>2067.0235215520001</v>
      </c>
      <c r="R44" s="151"/>
      <c r="S44" s="131">
        <f t="shared" si="17"/>
        <v>2517.6346492503362</v>
      </c>
      <c r="T44" s="130">
        <f t="shared" si="18"/>
        <v>2517.6346492503362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45.23788851881482</v>
      </c>
      <c r="L65" s="60">
        <f t="shared" ref="L65" si="34">K65*I65</f>
        <v>45.23788851881482</v>
      </c>
      <c r="M65" s="58">
        <f>IF(VLOOKUP(E65,'HOURLY RATES'!C$6:D$105,2,0)=0,$E$3,VLOOKUP(E65,'HOURLY RATES'!C$6:D$105,2,0))</f>
        <v>54</v>
      </c>
      <c r="N65" s="58">
        <f t="shared" ref="N65" si="35">M65*L65</f>
        <v>2442.8459800160003</v>
      </c>
      <c r="O65" s="61"/>
      <c r="P65" s="61">
        <f t="shared" ref="P65" si="36">O65*I65</f>
        <v>0</v>
      </c>
      <c r="Q65" s="62">
        <f t="shared" ref="Q65" si="37">P65+N65</f>
        <v>2442.8459800160003</v>
      </c>
      <c r="R65" s="151"/>
      <c r="S65" s="131">
        <f>((((N65*(1+$D$7))+(P65*(1+$D$5+$D$6)))*(1+$D$8)))/I65</f>
        <v>2975.3864036594882</v>
      </c>
      <c r="T65" s="130">
        <f>S65*I65</f>
        <v>2975.3864036594882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SUM(Q68:Q105)</f>
        <v>93955.614616000006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749</v>
      </c>
      <c r="G72" s="51">
        <v>3349</v>
      </c>
      <c r="H72" s="52">
        <f>IF(VLOOKUP(J72,'HOURLY RATES'!B$116:C$124,2,0)=0,$J$3,VLOOKUP(J72,'HOURLY RATES'!B$116:C$124,2,0))</f>
        <v>0.05</v>
      </c>
      <c r="I72" s="53">
        <f t="shared" ref="I72" si="38">(G72*(1+H72))</f>
        <v>3516.4500000000003</v>
      </c>
      <c r="J72" s="99" t="s">
        <v>224</v>
      </c>
      <c r="K72" s="153">
        <v>2.1999999999999999E-2</v>
      </c>
      <c r="L72" s="60">
        <f t="shared" ref="L72" si="39">K72*I72</f>
        <v>77.361900000000006</v>
      </c>
      <c r="M72" s="58">
        <f>IF(VLOOKUP(E72,'HOURLY RATES'!C$6:D$105,2,0)=0,$E$3,VLOOKUP(E72,'HOURLY RATES'!C$6:D$105,2,0))</f>
        <v>54</v>
      </c>
      <c r="N72" s="58">
        <f t="shared" ref="N72" si="40">M72*L72</f>
        <v>4177.5426000000007</v>
      </c>
      <c r="O72" s="61">
        <v>0.4</v>
      </c>
      <c r="P72" s="61">
        <f t="shared" ref="P72" si="41">O72*I72</f>
        <v>1406.5800000000002</v>
      </c>
      <c r="Q72" s="62">
        <f t="shared" ref="Q72" si="42">P72+N72</f>
        <v>5584.1226000000006</v>
      </c>
      <c r="R72" s="155"/>
      <c r="S72" s="131">
        <f t="shared" ref="S72" si="43">((((N72*(1+$D$7))+(P72*(1+$D$5+$D$6)))*(1+$D$8)))/I72</f>
        <v>1.9624903199999999</v>
      </c>
      <c r="T72" s="130">
        <f t="shared" ref="T72" si="44">S72*I72</f>
        <v>6900.9990857640005</v>
      </c>
    </row>
    <row r="73" spans="1:20" s="7" customFormat="1" x14ac:dyDescent="0.25">
      <c r="A73" s="152" t="str">
        <f>IF(J73&lt;&gt;"",1+MAX($A$18:A71),"")</f>
        <v/>
      </c>
      <c r="B73" s="50"/>
      <c r="C73" s="63"/>
      <c r="D73" s="100"/>
      <c r="E73" s="178"/>
      <c r="F73" s="103" t="s">
        <v>222</v>
      </c>
      <c r="G73" s="51"/>
      <c r="H73" s="52"/>
      <c r="I73" s="53"/>
      <c r="J73" s="99"/>
      <c r="K73" s="153"/>
      <c r="L73" s="60"/>
      <c r="M73" s="58"/>
      <c r="N73" s="58"/>
      <c r="O73" s="61"/>
      <c r="P73" s="61"/>
      <c r="Q73" s="62"/>
      <c r="R73" s="155"/>
      <c r="S73" s="131"/>
      <c r="T73" s="130"/>
    </row>
    <row r="74" spans="1:20" s="7" customFormat="1" x14ac:dyDescent="0.25">
      <c r="A74" s="152" t="str">
        <f>IF(J74&lt;&gt;"",1+MAX($A$18:A73),"")</f>
        <v/>
      </c>
      <c r="B74" s="50"/>
      <c r="C74" s="63"/>
      <c r="D74" s="100"/>
      <c r="E74" s="178"/>
      <c r="F74" s="172" t="s">
        <v>223</v>
      </c>
      <c r="G74" s="51"/>
      <c r="H74" s="52"/>
      <c r="I74" s="53"/>
      <c r="J74" s="99"/>
      <c r="K74" s="153"/>
      <c r="L74" s="60"/>
      <c r="M74" s="58"/>
      <c r="N74" s="58"/>
      <c r="O74" s="61"/>
      <c r="P74" s="61"/>
      <c r="Q74" s="62"/>
      <c r="R74" s="155"/>
      <c r="S74" s="131"/>
      <c r="T74" s="130"/>
    </row>
    <row r="75" spans="1:20" s="7" customFormat="1" ht="31.2" x14ac:dyDescent="0.25">
      <c r="A75" s="152">
        <f>IF(J75&lt;&gt;"",1+MAX($A$18:A74),"")</f>
        <v>35</v>
      </c>
      <c r="B75" s="50"/>
      <c r="C75" s="50"/>
      <c r="D75" s="100" t="s">
        <v>35</v>
      </c>
      <c r="E75" s="178" t="s">
        <v>104</v>
      </c>
      <c r="F75" s="175" t="s">
        <v>750</v>
      </c>
      <c r="G75" s="51">
        <v>6041</v>
      </c>
      <c r="H75" s="52">
        <f>IF(VLOOKUP(J75,'HOURLY RATES'!B$116:C$124,2,0)=0,$J$3,VLOOKUP(J75,'HOURLY RATES'!B$116:C$124,2,0))</f>
        <v>0.05</v>
      </c>
      <c r="I75" s="53">
        <f t="shared" ref="I75" si="45">(G75*(1+H75))</f>
        <v>6343.05</v>
      </c>
      <c r="J75" s="99" t="s">
        <v>224</v>
      </c>
      <c r="K75" s="153">
        <v>0.02</v>
      </c>
      <c r="L75" s="60">
        <f t="shared" ref="L75" si="46">K75*I75</f>
        <v>126.861</v>
      </c>
      <c r="M75" s="58">
        <f>IF(VLOOKUP(E75,'HOURLY RATES'!C$6:D$105,2,0)=0,$E$3,VLOOKUP(E75,'HOURLY RATES'!C$6:D$105,2,0))</f>
        <v>54</v>
      </c>
      <c r="N75" s="58">
        <f t="shared" ref="N75" si="47">M75*L75</f>
        <v>6850.4940000000006</v>
      </c>
      <c r="O75" s="61">
        <v>0.4</v>
      </c>
      <c r="P75" s="61">
        <f t="shared" ref="P75" si="48">O75*I75</f>
        <v>2537.2200000000003</v>
      </c>
      <c r="Q75" s="62">
        <f t="shared" ref="Q75" si="49">P75+N75</f>
        <v>9387.7139999999999</v>
      </c>
      <c r="R75" s="155"/>
      <c r="S75" s="131">
        <f t="shared" ref="S75" si="50">((((N75*(1+$D$7))+(P75*(1+$D$5+$D$6)))*(1+$D$8)))/I75</f>
        <v>1.8309463199999998</v>
      </c>
      <c r="T75" s="130">
        <f t="shared" ref="T75" si="51">S75*I75</f>
        <v>11613.784055075999</v>
      </c>
    </row>
    <row r="76" spans="1:20" s="7" customFormat="1" x14ac:dyDescent="0.25">
      <c r="A76" s="152"/>
      <c r="B76" s="50"/>
      <c r="C76" s="63"/>
      <c r="D76" s="100"/>
      <c r="E76" s="178"/>
      <c r="F76" s="103"/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x14ac:dyDescent="0.25">
      <c r="A77" s="152" t="str">
        <f>IF(J77&lt;&gt;"",1+MAX($A$18:A75),"")</f>
        <v/>
      </c>
      <c r="B77" s="50"/>
      <c r="C77" s="63"/>
      <c r="D77" s="100"/>
      <c r="E77" s="178"/>
      <c r="F77" s="172" t="s">
        <v>227</v>
      </c>
      <c r="G77" s="51"/>
      <c r="H77" s="52"/>
      <c r="I77" s="53"/>
      <c r="J77" s="99"/>
      <c r="K77" s="153"/>
      <c r="L77" s="60"/>
      <c r="M77" s="58"/>
      <c r="N77" s="58"/>
      <c r="O77" s="61"/>
      <c r="P77" s="61"/>
      <c r="Q77" s="62"/>
      <c r="R77" s="155"/>
      <c r="S77" s="131"/>
      <c r="T77" s="130"/>
    </row>
    <row r="78" spans="1:20" s="7" customFormat="1" x14ac:dyDescent="0.25">
      <c r="A78" s="152">
        <f>IF(J78&lt;&gt;"",1+MAX($A$18:A77),"")</f>
        <v>36</v>
      </c>
      <c r="B78" s="50"/>
      <c r="C78" s="50"/>
      <c r="D78" s="100" t="s">
        <v>35</v>
      </c>
      <c r="E78" s="178" t="s">
        <v>104</v>
      </c>
      <c r="F78" s="175" t="s">
        <v>748</v>
      </c>
      <c r="G78" s="51">
        <v>29.42</v>
      </c>
      <c r="H78" s="52">
        <f>IF(VLOOKUP(J78,'HOURLY RATES'!B$116:C$124,2,0)=0,$J$3,VLOOKUP(J78,'HOURLY RATES'!B$116:C$124,2,0))</f>
        <v>0.05</v>
      </c>
      <c r="I78" s="53">
        <f t="shared" ref="I78" si="52">(G78*(1+H78))</f>
        <v>30.891000000000002</v>
      </c>
      <c r="J78" s="99" t="s">
        <v>226</v>
      </c>
      <c r="K78" s="153">
        <v>4.3999999999999997E-2</v>
      </c>
      <c r="L78" s="60">
        <f t="shared" ref="L78" si="53">K78*I78</f>
        <v>1.3592040000000001</v>
      </c>
      <c r="M78" s="58">
        <f>IF(VLOOKUP(E78,'HOURLY RATES'!C$6:D$105,2,0)=0,$E$3,VLOOKUP(E78,'HOURLY RATES'!C$6:D$105,2,0))</f>
        <v>54</v>
      </c>
      <c r="N78" s="58">
        <f t="shared" ref="N78" si="54">M78*L78</f>
        <v>73.397016000000008</v>
      </c>
      <c r="O78" s="61">
        <v>1.5</v>
      </c>
      <c r="P78" s="61">
        <f t="shared" ref="P78" si="55">O78*I78</f>
        <v>46.336500000000001</v>
      </c>
      <c r="Q78" s="62">
        <f t="shared" ref="Q78" si="56">P78+N78</f>
        <v>119.73351600000001</v>
      </c>
      <c r="R78" s="155"/>
      <c r="S78" s="131">
        <f>((((N78*(1+$D$7))+(P78*(1+$D$5+$D$6)))*(1+$D$8)))/I78</f>
        <v>4.8271166999999995</v>
      </c>
      <c r="T78" s="130">
        <f t="shared" ref="T78" si="57">S78*I78</f>
        <v>149.1144619797</v>
      </c>
    </row>
    <row r="79" spans="1:20" s="7" customFormat="1" x14ac:dyDescent="0.25">
      <c r="A79" s="152"/>
      <c r="B79" s="50"/>
      <c r="C79" s="63"/>
      <c r="D79" s="100"/>
      <c r="E79" s="178"/>
      <c r="F79" s="103"/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x14ac:dyDescent="0.25">
      <c r="A80" s="152" t="str">
        <f>IF(J80&lt;&gt;"",1+MAX($A$18:A77),"")</f>
        <v/>
      </c>
      <c r="B80" s="50"/>
      <c r="C80" s="63"/>
      <c r="D80" s="100"/>
      <c r="E80" s="178"/>
      <c r="F80" s="172" t="s">
        <v>723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0" s="7" customFormat="1" ht="31.2" x14ac:dyDescent="0.25">
      <c r="A81" s="152">
        <f>IF(J81&lt;&gt;"",1+MAX($A$18:A80),"")</f>
        <v>37</v>
      </c>
      <c r="B81" s="50"/>
      <c r="C81" s="50"/>
      <c r="D81" s="100" t="s">
        <v>35</v>
      </c>
      <c r="E81" s="178" t="s">
        <v>104</v>
      </c>
      <c r="F81" s="175" t="s">
        <v>804</v>
      </c>
      <c r="G81" s="51">
        <v>7</v>
      </c>
      <c r="H81" s="52">
        <f>IF(VLOOKUP(J81,'HOURLY RATES'!B$116:C$124,2,0)=0,$J$3,VLOOKUP(J81,'HOURLY RATES'!B$116:C$124,2,0))</f>
        <v>0</v>
      </c>
      <c r="I81" s="53">
        <f t="shared" ref="I81:I83" si="58">(G81*(1+H81))</f>
        <v>7</v>
      </c>
      <c r="J81" s="99" t="s">
        <v>225</v>
      </c>
      <c r="K81" s="153">
        <v>1.23</v>
      </c>
      <c r="L81" s="60">
        <f t="shared" ref="L81:L83" si="59">K81*I81</f>
        <v>8.61</v>
      </c>
      <c r="M81" s="58">
        <f>IF(VLOOKUP(E81,'HOURLY RATES'!C$6:D$105,2,0)=0,$E$3,VLOOKUP(E81,'HOURLY RATES'!C$6:D$105,2,0))</f>
        <v>54</v>
      </c>
      <c r="N81" s="58">
        <f t="shared" ref="N81:N83" si="60">M81*L81</f>
        <v>464.93999999999994</v>
      </c>
      <c r="O81" s="61">
        <v>28</v>
      </c>
      <c r="P81" s="61">
        <f t="shared" ref="P81:P83" si="61">O81*I81</f>
        <v>196</v>
      </c>
      <c r="Q81" s="62">
        <f t="shared" ref="Q81:Q83" si="62">P81+N81</f>
        <v>660.93999999999994</v>
      </c>
      <c r="R81" s="155"/>
      <c r="S81" s="131">
        <f>((((N81*(1+$D$7))+(P81*(1+$D$5+$D$6)))*(1+$D$8)))/I81</f>
        <v>116.98500239999997</v>
      </c>
      <c r="T81" s="130">
        <f t="shared" ref="T81:T83" si="63">S81*I81</f>
        <v>818.89501679999978</v>
      </c>
    </row>
    <row r="82" spans="1:20" s="7" customFormat="1" ht="31.2" x14ac:dyDescent="0.25">
      <c r="A82" s="152">
        <f>IF(J82&lt;&gt;"",1+MAX($A$18:A81),"")</f>
        <v>38</v>
      </c>
      <c r="B82" s="50"/>
      <c r="C82" s="50"/>
      <c r="D82" s="100" t="s">
        <v>35</v>
      </c>
      <c r="E82" s="178" t="s">
        <v>104</v>
      </c>
      <c r="F82" s="175" t="s">
        <v>805</v>
      </c>
      <c r="G82" s="51">
        <f>G83/2</f>
        <v>166.5</v>
      </c>
      <c r="H82" s="52">
        <f>IF(VLOOKUP(J82,'HOURLY RATES'!B$116:C$124,2,0)=0,$J$3,VLOOKUP(J82,'HOURLY RATES'!B$116:C$124,2,0))</f>
        <v>0.05</v>
      </c>
      <c r="I82" s="53">
        <f t="shared" si="58"/>
        <v>174.82500000000002</v>
      </c>
      <c r="J82" s="99" t="s">
        <v>226</v>
      </c>
      <c r="K82" s="153">
        <v>1.7999999999999999E-2</v>
      </c>
      <c r="L82" s="60">
        <f t="shared" si="59"/>
        <v>3.1468500000000001</v>
      </c>
      <c r="M82" s="58">
        <f>IF(VLOOKUP(E82,'HOURLY RATES'!C$6:D$105,2,0)=0,$E$3,VLOOKUP(E82,'HOURLY RATES'!C$6:D$105,2,0))</f>
        <v>54</v>
      </c>
      <c r="N82" s="58">
        <f t="shared" si="60"/>
        <v>169.9299</v>
      </c>
      <c r="O82" s="61">
        <v>0.8</v>
      </c>
      <c r="P82" s="61">
        <f t="shared" si="61"/>
        <v>139.86000000000001</v>
      </c>
      <c r="Q82" s="62">
        <f t="shared" si="62"/>
        <v>309.78989999999999</v>
      </c>
      <c r="R82" s="155"/>
      <c r="S82" s="131">
        <f>((((N82*(1+$D$7))+(P82*(1+$D$5+$D$6)))*(1+$D$8)))/I82</f>
        <v>2.2149086399999995</v>
      </c>
      <c r="T82" s="130">
        <f t="shared" si="63"/>
        <v>387.22140298799997</v>
      </c>
    </row>
    <row r="83" spans="1:20" s="7" customFormat="1" ht="31.2" x14ac:dyDescent="0.25">
      <c r="A83" s="152">
        <f>IF(J83&lt;&gt;"",1+MAX($A$18:A82),"")</f>
        <v>39</v>
      </c>
      <c r="B83" s="50"/>
      <c r="C83" s="50"/>
      <c r="D83" s="100" t="s">
        <v>35</v>
      </c>
      <c r="E83" s="178" t="s">
        <v>104</v>
      </c>
      <c r="F83" s="175" t="s">
        <v>806</v>
      </c>
      <c r="G83" s="51">
        <v>333</v>
      </c>
      <c r="H83" s="52">
        <f>IF(VLOOKUP(J83,'HOURLY RATES'!B$116:C$124,2,0)=0,$J$3,VLOOKUP(J83,'HOURLY RATES'!B$116:C$124,2,0))</f>
        <v>0.05</v>
      </c>
      <c r="I83" s="53">
        <f t="shared" si="58"/>
        <v>349.65000000000003</v>
      </c>
      <c r="J83" s="99" t="s">
        <v>226</v>
      </c>
      <c r="K83" s="153">
        <v>1.7999999999999999E-2</v>
      </c>
      <c r="L83" s="60">
        <f t="shared" si="59"/>
        <v>6.2937000000000003</v>
      </c>
      <c r="M83" s="58">
        <f>IF(VLOOKUP(E83,'HOURLY RATES'!C$6:D$105,2,0)=0,$E$3,VLOOKUP(E83,'HOURLY RATES'!C$6:D$105,2,0))</f>
        <v>54</v>
      </c>
      <c r="N83" s="58">
        <f t="shared" si="60"/>
        <v>339.85980000000001</v>
      </c>
      <c r="O83" s="61">
        <v>0.8</v>
      </c>
      <c r="P83" s="61">
        <f t="shared" si="61"/>
        <v>279.72000000000003</v>
      </c>
      <c r="Q83" s="62">
        <f t="shared" si="62"/>
        <v>619.57979999999998</v>
      </c>
      <c r="R83" s="155"/>
      <c r="S83" s="131">
        <f>((((N83*(1+$D$7))+(P83*(1+$D$5+$D$6)))*(1+$D$8)))/I83</f>
        <v>2.2149086399999995</v>
      </c>
      <c r="T83" s="130">
        <f t="shared" si="63"/>
        <v>774.44280597599993</v>
      </c>
    </row>
    <row r="84" spans="1:20" s="7" customFormat="1" x14ac:dyDescent="0.25">
      <c r="A84" s="152"/>
      <c r="B84" s="50"/>
      <c r="C84" s="63"/>
      <c r="D84" s="100"/>
      <c r="E84" s="178"/>
      <c r="F84" s="103"/>
      <c r="G84" s="51"/>
      <c r="H84" s="52"/>
      <c r="I84" s="53"/>
      <c r="J84" s="99"/>
      <c r="K84" s="153"/>
      <c r="L84" s="60"/>
      <c r="M84" s="58"/>
      <c r="N84" s="58"/>
      <c r="O84" s="61"/>
      <c r="P84" s="61"/>
      <c r="Q84" s="62"/>
      <c r="R84" s="155"/>
      <c r="S84" s="131"/>
      <c r="T84" s="130"/>
    </row>
    <row r="85" spans="1:20" s="7" customFormat="1" x14ac:dyDescent="0.25">
      <c r="A85" s="152" t="str">
        <f>IF(J85&lt;&gt;"",1+MAX($A$18:A84),"")</f>
        <v/>
      </c>
      <c r="B85" s="109"/>
      <c r="C85" s="110"/>
      <c r="D85" s="100"/>
      <c r="E85" s="179"/>
      <c r="F85" s="172" t="s">
        <v>725</v>
      </c>
      <c r="G85" s="112"/>
      <c r="H85" s="113"/>
      <c r="I85" s="114"/>
      <c r="J85" s="99"/>
      <c r="K85" s="153"/>
      <c r="L85" s="156"/>
      <c r="M85" s="157"/>
      <c r="N85" s="157"/>
      <c r="O85" s="158"/>
      <c r="P85" s="158"/>
      <c r="Q85" s="159"/>
      <c r="R85" s="155"/>
      <c r="S85" s="131"/>
      <c r="T85" s="130"/>
    </row>
    <row r="86" spans="1:20" s="7" customFormat="1" ht="46.8" x14ac:dyDescent="0.25">
      <c r="A86" s="152">
        <f>IF(J86&lt;&gt;"",1+MAX($A$18:A84),"")</f>
        <v>40</v>
      </c>
      <c r="B86" s="109"/>
      <c r="C86" s="109"/>
      <c r="D86" s="100" t="s">
        <v>35</v>
      </c>
      <c r="E86" s="179" t="s">
        <v>86</v>
      </c>
      <c r="F86" s="176" t="s">
        <v>815</v>
      </c>
      <c r="G86" s="112">
        <v>3315</v>
      </c>
      <c r="H86" s="113">
        <v>0.05</v>
      </c>
      <c r="I86" s="114">
        <f t="shared" ref="I86:I89" si="64">(G86*(1+H86))</f>
        <v>3480.75</v>
      </c>
      <c r="J86" s="99" t="s">
        <v>224</v>
      </c>
      <c r="K86" s="153">
        <v>0.02</v>
      </c>
      <c r="L86" s="156">
        <f t="shared" ref="L86:L89" si="65">K86*I86</f>
        <v>69.614999999999995</v>
      </c>
      <c r="M86" s="58">
        <f>IF(VLOOKUP(E86,'HOURLY RATES'!C$6:D$105,2,0)=0,$E$3,VLOOKUP(E86,'HOURLY RATES'!C$6:D$105,2,0))</f>
        <v>54</v>
      </c>
      <c r="N86" s="157">
        <f t="shared" ref="N86:N89" si="66">M86*L86</f>
        <v>3759.2099999999996</v>
      </c>
      <c r="O86" s="158">
        <v>0.8</v>
      </c>
      <c r="P86" s="158">
        <f t="shared" ref="P86:P89" si="67">O86*I86</f>
        <v>2784.6000000000004</v>
      </c>
      <c r="Q86" s="159">
        <f t="shared" ref="Q86:Q89" si="68">P86+N86</f>
        <v>6543.8099999999995</v>
      </c>
      <c r="R86" s="155"/>
      <c r="S86" s="131">
        <f>((((N86*(1+$D$7))+(P86*(1+$D$5+$D$6)))*(1+$D$8)))/I86</f>
        <v>2.3464526399999999</v>
      </c>
      <c r="T86" s="130">
        <f t="shared" ref="T86:T89" si="69">S86*I86</f>
        <v>8167.4150266799998</v>
      </c>
    </row>
    <row r="87" spans="1:20" s="7" customFormat="1" ht="46.8" x14ac:dyDescent="0.25">
      <c r="A87" s="152">
        <f>IF(J87&lt;&gt;"",1+MAX($A$18:A86),"")</f>
        <v>41</v>
      </c>
      <c r="B87" s="109"/>
      <c r="C87" s="109"/>
      <c r="D87" s="100" t="s">
        <v>35</v>
      </c>
      <c r="E87" s="179" t="s">
        <v>86</v>
      </c>
      <c r="F87" s="176" t="s">
        <v>818</v>
      </c>
      <c r="G87" s="112">
        <v>785</v>
      </c>
      <c r="H87" s="113">
        <v>0.05</v>
      </c>
      <c r="I87" s="114">
        <f t="shared" si="64"/>
        <v>824.25</v>
      </c>
      <c r="J87" s="99" t="s">
        <v>224</v>
      </c>
      <c r="K87" s="153">
        <v>0.02</v>
      </c>
      <c r="L87" s="156">
        <f t="shared" si="65"/>
        <v>16.484999999999999</v>
      </c>
      <c r="M87" s="58">
        <f>IF(VLOOKUP(E87,'HOURLY RATES'!C$6:D$105,2,0)=0,$E$3,VLOOKUP(E87,'HOURLY RATES'!C$6:D$105,2,0))</f>
        <v>54</v>
      </c>
      <c r="N87" s="157">
        <f t="shared" si="66"/>
        <v>890.18999999999994</v>
      </c>
      <c r="O87" s="158">
        <v>0.8</v>
      </c>
      <c r="P87" s="158">
        <f t="shared" si="67"/>
        <v>659.40000000000009</v>
      </c>
      <c r="Q87" s="159">
        <f t="shared" si="68"/>
        <v>1549.5900000000001</v>
      </c>
      <c r="R87" s="155"/>
      <c r="S87" s="131">
        <f>((((N87*(1+$D$7))+(P87*(1+$D$5+$D$6)))*(1+$D$8)))/I87</f>
        <v>2.3464526399999999</v>
      </c>
      <c r="T87" s="130">
        <f t="shared" si="69"/>
        <v>1934.0635885199999</v>
      </c>
    </row>
    <row r="88" spans="1:20" s="7" customFormat="1" ht="46.8" x14ac:dyDescent="0.25">
      <c r="A88" s="152">
        <f>IF(J88&lt;&gt;"",1+MAX($A$18:A86),"")</f>
        <v>41</v>
      </c>
      <c r="B88" s="109"/>
      <c r="C88" s="109"/>
      <c r="D88" s="100" t="s">
        <v>35</v>
      </c>
      <c r="E88" s="179" t="s">
        <v>86</v>
      </c>
      <c r="F88" s="176" t="s">
        <v>814</v>
      </c>
      <c r="G88" s="112">
        <v>700</v>
      </c>
      <c r="H88" s="113">
        <v>0.05</v>
      </c>
      <c r="I88" s="114">
        <f t="shared" si="64"/>
        <v>735</v>
      </c>
      <c r="J88" s="99" t="s">
        <v>226</v>
      </c>
      <c r="K88" s="153">
        <v>1.7999999999999999E-2</v>
      </c>
      <c r="L88" s="156">
        <f t="shared" si="65"/>
        <v>13.229999999999999</v>
      </c>
      <c r="M88" s="58">
        <f>IF(VLOOKUP(E88,'HOURLY RATES'!C$6:D$105,2,0)=0,$E$3,VLOOKUP(E88,'HOURLY RATES'!C$6:D$105,2,0))</f>
        <v>54</v>
      </c>
      <c r="N88" s="157">
        <f t="shared" si="66"/>
        <v>714.42</v>
      </c>
      <c r="O88" s="158">
        <v>0.8</v>
      </c>
      <c r="P88" s="158">
        <f t="shared" si="67"/>
        <v>588</v>
      </c>
      <c r="Q88" s="159">
        <f t="shared" si="68"/>
        <v>1302.42</v>
      </c>
      <c r="R88" s="155"/>
      <c r="S88" s="131">
        <f t="shared" ref="S88:S89" si="70">((((N88*(1+$D$7))+(P88*(1+$D$5+$D$6)))*(1+$D$8)))/I88</f>
        <v>2.2149086399999995</v>
      </c>
      <c r="T88" s="130">
        <f t="shared" si="69"/>
        <v>1627.9578503999996</v>
      </c>
    </row>
    <row r="89" spans="1:20" s="7" customFormat="1" ht="46.8" x14ac:dyDescent="0.25">
      <c r="A89" s="152">
        <f>IF(J89&lt;&gt;"",1+MAX($A$18:A86),"")</f>
        <v>41</v>
      </c>
      <c r="B89" s="109"/>
      <c r="C89" s="109"/>
      <c r="D89" s="100" t="s">
        <v>35</v>
      </c>
      <c r="E89" s="179" t="s">
        <v>86</v>
      </c>
      <c r="F89" s="176" t="s">
        <v>781</v>
      </c>
      <c r="G89" s="112">
        <v>258</v>
      </c>
      <c r="H89" s="113">
        <v>0.05</v>
      </c>
      <c r="I89" s="114">
        <f t="shared" si="64"/>
        <v>270.90000000000003</v>
      </c>
      <c r="J89" s="99" t="s">
        <v>226</v>
      </c>
      <c r="K89" s="153">
        <v>1.7999999999999999E-2</v>
      </c>
      <c r="L89" s="156">
        <f t="shared" si="65"/>
        <v>4.8761999999999999</v>
      </c>
      <c r="M89" s="58">
        <f>IF(VLOOKUP(E89,'HOURLY RATES'!C$6:D$105,2,0)=0,$E$3,VLOOKUP(E89,'HOURLY RATES'!C$6:D$105,2,0))</f>
        <v>54</v>
      </c>
      <c r="N89" s="157">
        <f t="shared" si="66"/>
        <v>263.31479999999999</v>
      </c>
      <c r="O89" s="158">
        <v>0.8</v>
      </c>
      <c r="P89" s="158">
        <f t="shared" si="67"/>
        <v>216.72000000000003</v>
      </c>
      <c r="Q89" s="159">
        <f t="shared" si="68"/>
        <v>480.03480000000002</v>
      </c>
      <c r="R89" s="155"/>
      <c r="S89" s="131">
        <f t="shared" si="70"/>
        <v>2.2149086399999995</v>
      </c>
      <c r="T89" s="130">
        <f t="shared" si="69"/>
        <v>600.018750576</v>
      </c>
    </row>
    <row r="90" spans="1:20" s="7" customFormat="1" x14ac:dyDescent="0.25">
      <c r="A90" s="152" t="str">
        <f>IF(J90&lt;&gt;"",1+MAX($A$18:A89),"")</f>
        <v/>
      </c>
      <c r="B90" s="50"/>
      <c r="C90" s="50"/>
      <c r="D90" s="100"/>
      <c r="E90" s="178"/>
      <c r="F90" s="175" t="s">
        <v>222</v>
      </c>
      <c r="G90" s="51"/>
      <c r="H90" s="52"/>
      <c r="I90" s="53"/>
      <c r="J90" s="99"/>
      <c r="K90" s="153"/>
      <c r="L90" s="60"/>
      <c r="M90" s="58"/>
      <c r="N90" s="58"/>
      <c r="O90" s="61"/>
      <c r="P90" s="61"/>
      <c r="Q90" s="62"/>
      <c r="R90" s="155"/>
      <c r="S90" s="131"/>
      <c r="T90" s="130"/>
    </row>
    <row r="91" spans="1:20" s="7" customFormat="1" ht="18" x14ac:dyDescent="0.25">
      <c r="A91" s="152" t="str">
        <f>IF(J91&lt;&gt;"",1+MAX($A$18:A90),"")</f>
        <v/>
      </c>
      <c r="B91" s="50"/>
      <c r="C91" s="63"/>
      <c r="D91" s="100"/>
      <c r="E91" s="178"/>
      <c r="F91" s="173" t="s">
        <v>720</v>
      </c>
      <c r="G91" s="51"/>
      <c r="H91" s="52"/>
      <c r="I91" s="53"/>
      <c r="J91" s="99"/>
      <c r="K91" s="153"/>
      <c r="L91" s="60"/>
      <c r="M91" s="58"/>
      <c r="N91" s="58"/>
      <c r="O91" s="61"/>
      <c r="P91" s="61"/>
      <c r="Q91" s="62"/>
      <c r="R91" s="155"/>
      <c r="S91" s="131"/>
      <c r="T91" s="130"/>
    </row>
    <row r="92" spans="1:20" s="7" customFormat="1" x14ac:dyDescent="0.25">
      <c r="A92" s="152">
        <f>IF(J92&lt;&gt;"",1+MAX($A$18:A91),"")</f>
        <v>42</v>
      </c>
      <c r="B92" s="50"/>
      <c r="C92" s="63"/>
      <c r="D92" s="100"/>
      <c r="E92" s="178"/>
      <c r="F92" s="177" t="s">
        <v>766</v>
      </c>
      <c r="G92" s="108">
        <v>8</v>
      </c>
      <c r="H92" s="52"/>
      <c r="I92" s="53"/>
      <c r="J92" s="99" t="s">
        <v>225</v>
      </c>
      <c r="K92" s="153"/>
      <c r="L92" s="60"/>
      <c r="M92" s="58"/>
      <c r="N92" s="58"/>
      <c r="O92" s="61"/>
      <c r="P92" s="61"/>
      <c r="Q92" s="62"/>
      <c r="R92" s="155"/>
      <c r="S92" s="131"/>
      <c r="T92" s="130"/>
    </row>
    <row r="93" spans="1:20" s="7" customFormat="1" x14ac:dyDescent="0.25">
      <c r="A93" s="152" t="str">
        <f>IF(J93&lt;&gt;"",1+MAX($A$18:A92),"")</f>
        <v/>
      </c>
      <c r="B93" s="50"/>
      <c r="C93" s="63"/>
      <c r="D93" s="100"/>
      <c r="E93" s="178"/>
      <c r="F93" s="172" t="s">
        <v>722</v>
      </c>
      <c r="G93" s="51"/>
      <c r="H93" s="52"/>
      <c r="I93" s="53"/>
      <c r="J93" s="99"/>
      <c r="K93" s="153"/>
      <c r="L93" s="60"/>
      <c r="M93" s="58"/>
      <c r="N93" s="58"/>
      <c r="O93" s="61"/>
      <c r="P93" s="61"/>
      <c r="Q93" s="62"/>
      <c r="R93" s="155"/>
      <c r="S93" s="131"/>
      <c r="T93" s="130"/>
    </row>
    <row r="94" spans="1:20" s="7" customFormat="1" ht="31.2" x14ac:dyDescent="0.25">
      <c r="A94" s="152">
        <f>IF(J94&lt;&gt;"",1+MAX($A$18:A93),"")</f>
        <v>43</v>
      </c>
      <c r="B94" s="50"/>
      <c r="C94" s="50"/>
      <c r="D94" s="100" t="s">
        <v>35</v>
      </c>
      <c r="E94" s="178" t="s">
        <v>104</v>
      </c>
      <c r="F94" s="175" t="s">
        <v>758</v>
      </c>
      <c r="G94" s="51">
        <f>1225*8</f>
        <v>9800</v>
      </c>
      <c r="H94" s="52">
        <f>IF(VLOOKUP(J94,'HOURLY RATES'!B$116:C$124,2,0)=0,$J$3,VLOOKUP(J94,'HOURLY RATES'!B$116:C$124,2,0))</f>
        <v>0.05</v>
      </c>
      <c r="I94" s="53">
        <f t="shared" ref="I94" si="71">(G94*(1+H94))</f>
        <v>10290</v>
      </c>
      <c r="J94" s="99" t="s">
        <v>224</v>
      </c>
      <c r="K94" s="153">
        <v>2.1999999999999999E-2</v>
      </c>
      <c r="L94" s="60">
        <f t="shared" ref="L94" si="72">K94*I94</f>
        <v>226.38</v>
      </c>
      <c r="M94" s="58">
        <f>IF(VLOOKUP(E94,'HOURLY RATES'!C$6:D$105,2,0)=0,$E$3,VLOOKUP(E94,'HOURLY RATES'!C$6:D$105,2,0))</f>
        <v>54</v>
      </c>
      <c r="N94" s="58">
        <f t="shared" ref="N94" si="73">M94*L94</f>
        <v>12224.52</v>
      </c>
      <c r="O94" s="61">
        <v>0.4</v>
      </c>
      <c r="P94" s="61">
        <f t="shared" ref="P94" si="74">O94*I94</f>
        <v>4116</v>
      </c>
      <c r="Q94" s="62">
        <f t="shared" ref="Q94" si="75">P94+N94</f>
        <v>16340.52</v>
      </c>
      <c r="R94" s="155"/>
      <c r="S94" s="131">
        <f>((((N94*(1+$D$7))+(P94*(1+$D$5+$D$6)))*(1+$D$8)))/I94</f>
        <v>1.9624903199999999</v>
      </c>
      <c r="T94" s="130">
        <f t="shared" ref="T94" si="76">S94*I94</f>
        <v>20194.025392799998</v>
      </c>
    </row>
    <row r="95" spans="1:20" s="7" customFormat="1" x14ac:dyDescent="0.25">
      <c r="A95" s="152"/>
      <c r="B95" s="50"/>
      <c r="C95" s="63"/>
      <c r="D95" s="100"/>
      <c r="E95" s="178"/>
      <c r="F95" s="103"/>
      <c r="G95" s="51"/>
      <c r="H95" s="52"/>
      <c r="I95" s="53"/>
      <c r="J95" s="99"/>
      <c r="K95" s="153"/>
      <c r="L95" s="60"/>
      <c r="M95" s="58"/>
      <c r="N95" s="58"/>
      <c r="O95" s="61"/>
      <c r="P95" s="61"/>
      <c r="Q95" s="62"/>
      <c r="R95" s="155"/>
      <c r="S95" s="131"/>
      <c r="T95" s="130"/>
    </row>
    <row r="96" spans="1:20" s="7" customFormat="1" x14ac:dyDescent="0.25">
      <c r="A96" s="152" t="str">
        <f>IF(J96&lt;&gt;"",1+MAX($A$18:A94),"")</f>
        <v/>
      </c>
      <c r="B96" s="50"/>
      <c r="C96" s="63"/>
      <c r="D96" s="100"/>
      <c r="E96" s="178"/>
      <c r="F96" s="172" t="s">
        <v>719</v>
      </c>
      <c r="G96" s="51"/>
      <c r="H96" s="52"/>
      <c r="I96" s="53"/>
      <c r="J96" s="99"/>
      <c r="K96" s="153"/>
      <c r="L96" s="60"/>
      <c r="M96" s="58"/>
      <c r="N96" s="58"/>
      <c r="O96" s="61"/>
      <c r="P96" s="61"/>
      <c r="Q96" s="62"/>
      <c r="R96" s="155"/>
      <c r="S96" s="131"/>
      <c r="T96" s="130"/>
    </row>
    <row r="97" spans="1:22" s="7" customFormat="1" ht="31.2" x14ac:dyDescent="0.25">
      <c r="A97" s="152">
        <f>IF(J97&lt;&gt;"",1+MAX($A$18:A96),"")</f>
        <v>44</v>
      </c>
      <c r="B97" s="50"/>
      <c r="C97" s="50"/>
      <c r="D97" s="100" t="s">
        <v>35</v>
      </c>
      <c r="E97" s="178" t="s">
        <v>104</v>
      </c>
      <c r="F97" s="175" t="s">
        <v>760</v>
      </c>
      <c r="G97" s="51">
        <f>320*8</f>
        <v>2560</v>
      </c>
      <c r="H97" s="52">
        <f>IF(VLOOKUP(J97,'HOURLY RATES'!B$116:C$124,2,0)=0,$J$3,VLOOKUP(J97,'HOURLY RATES'!B$116:C$124,2,0))</f>
        <v>0.05</v>
      </c>
      <c r="I97" s="53">
        <f t="shared" ref="I97:I101" si="77">(G97*(1+H97))</f>
        <v>2688</v>
      </c>
      <c r="J97" s="99" t="s">
        <v>226</v>
      </c>
      <c r="K97" s="153">
        <v>1.7999999999999999E-2</v>
      </c>
      <c r="L97" s="60">
        <f t="shared" ref="L97" si="78">K97*I97</f>
        <v>48.383999999999993</v>
      </c>
      <c r="M97" s="58">
        <f>IF(VLOOKUP(E97,'HOURLY RATES'!C$6:D$105,2,0)=0,$E$3,VLOOKUP(E97,'HOURLY RATES'!C$6:D$105,2,0))</f>
        <v>54</v>
      </c>
      <c r="N97" s="58">
        <f t="shared" ref="N97" si="79">M97*L97</f>
        <v>2612.7359999999994</v>
      </c>
      <c r="O97" s="61">
        <v>0.8</v>
      </c>
      <c r="P97" s="61">
        <f t="shared" ref="P97:P101" si="80">O97*I97</f>
        <v>2150.4</v>
      </c>
      <c r="Q97" s="62">
        <f t="shared" ref="Q97:Q101" si="81">P97+N97</f>
        <v>4763.1359999999995</v>
      </c>
      <c r="R97" s="155"/>
      <c r="S97" s="131">
        <f>((((N97*(1+$D$7))+(P97*(1+$D$5+$D$6)))*(1+$D$8)))/I97</f>
        <v>2.2149086399999995</v>
      </c>
      <c r="T97" s="130">
        <f t="shared" ref="T97:T101" si="82">S97*I97</f>
        <v>5953.6744243199992</v>
      </c>
    </row>
    <row r="98" spans="1:22" s="7" customFormat="1" x14ac:dyDescent="0.25">
      <c r="A98" s="152"/>
      <c r="B98" s="50"/>
      <c r="C98" s="63"/>
      <c r="D98" s="100"/>
      <c r="E98" s="178"/>
      <c r="F98" s="103"/>
      <c r="G98" s="51"/>
      <c r="H98" s="52"/>
      <c r="I98" s="53"/>
      <c r="J98" s="99"/>
      <c r="K98" s="153"/>
      <c r="L98" s="60"/>
      <c r="M98" s="58"/>
      <c r="N98" s="58"/>
      <c r="O98" s="61"/>
      <c r="P98" s="61"/>
      <c r="Q98" s="62"/>
      <c r="R98" s="155"/>
      <c r="S98" s="131"/>
      <c r="T98" s="130"/>
    </row>
    <row r="99" spans="1:22" s="7" customFormat="1" x14ac:dyDescent="0.25">
      <c r="A99" s="152" t="str">
        <f>IF(J99&lt;&gt;"",1+MAX($A$18:A97),"")</f>
        <v/>
      </c>
      <c r="B99" s="50"/>
      <c r="C99" s="63"/>
      <c r="D99" s="100"/>
      <c r="E99" s="178"/>
      <c r="F99" s="172" t="s">
        <v>223</v>
      </c>
      <c r="G99" s="51"/>
      <c r="H99" s="52"/>
      <c r="I99" s="53"/>
      <c r="J99" s="99"/>
      <c r="K99" s="153"/>
      <c r="L99" s="60"/>
      <c r="M99" s="58"/>
      <c r="N99" s="58"/>
      <c r="O99" s="61"/>
      <c r="P99" s="61"/>
      <c r="Q99" s="62"/>
      <c r="R99" s="155"/>
      <c r="S99" s="131"/>
      <c r="T99" s="130"/>
    </row>
    <row r="100" spans="1:22" s="7" customFormat="1" ht="31.2" x14ac:dyDescent="0.25">
      <c r="A100" s="152">
        <f>IF(J100&lt;&gt;"",1+MAX($A$18:A98),"")</f>
        <v>45</v>
      </c>
      <c r="B100" s="50"/>
      <c r="C100" s="50"/>
      <c r="D100" s="100" t="s">
        <v>35</v>
      </c>
      <c r="E100" s="178" t="s">
        <v>104</v>
      </c>
      <c r="F100" s="175" t="s">
        <v>757</v>
      </c>
      <c r="G100" s="51">
        <f>2528*8</f>
        <v>20224</v>
      </c>
      <c r="H100" s="52">
        <f>IF(VLOOKUP(J100,'HOURLY RATES'!B$116:C$124,2,0)=0,$J$3,VLOOKUP(J100,'HOURLY RATES'!B$116:C$124,2,0))</f>
        <v>0.05</v>
      </c>
      <c r="I100" s="53">
        <f t="shared" ref="I100" si="83">(G100*(1+H100))</f>
        <v>21235.200000000001</v>
      </c>
      <c r="J100" s="99" t="s">
        <v>224</v>
      </c>
      <c r="K100" s="153">
        <v>0.02</v>
      </c>
      <c r="L100" s="60">
        <f t="shared" ref="L100:L101" si="84">K100*I100</f>
        <v>424.70400000000001</v>
      </c>
      <c r="M100" s="58">
        <f>IF(VLOOKUP(E100,'HOURLY RATES'!C$6:D$105,2,0)=0,$E$3,VLOOKUP(E100,'HOURLY RATES'!C$6:D$105,2,0))</f>
        <v>54</v>
      </c>
      <c r="N100" s="58">
        <f t="shared" ref="N100:N101" si="85">M100*L100</f>
        <v>22934.016</v>
      </c>
      <c r="O100" s="61">
        <v>0.4</v>
      </c>
      <c r="P100" s="61">
        <f t="shared" ref="P100" si="86">O100*I100</f>
        <v>8494.08</v>
      </c>
      <c r="Q100" s="62">
        <f t="shared" ref="Q100" si="87">P100+N100</f>
        <v>31428.095999999998</v>
      </c>
      <c r="R100" s="155"/>
      <c r="S100" s="131">
        <f>((((N100*(1+$D$7))+(P100*(1+$D$5+$D$6)))*(1+$D$8)))/I100</f>
        <v>1.8309463199999996</v>
      </c>
      <c r="T100" s="130">
        <f t="shared" ref="T100" si="88">S100*I100</f>
        <v>38880.511294463991</v>
      </c>
    </row>
    <row r="101" spans="1:22" s="7" customFormat="1" ht="31.2" x14ac:dyDescent="0.25">
      <c r="A101" s="152">
        <f>IF(J101&lt;&gt;"",1+MAX($A$18:A99),"")</f>
        <v>45</v>
      </c>
      <c r="B101" s="50"/>
      <c r="C101" s="50"/>
      <c r="D101" s="100" t="s">
        <v>35</v>
      </c>
      <c r="E101" s="178" t="s">
        <v>104</v>
      </c>
      <c r="F101" s="175" t="s">
        <v>759</v>
      </c>
      <c r="G101" s="51">
        <f>453*8</f>
        <v>3624</v>
      </c>
      <c r="H101" s="52">
        <f>IF(VLOOKUP(J101,'HOURLY RATES'!B$116:C$124,2,0)=0,$J$3,VLOOKUP(J101,'HOURLY RATES'!B$116:C$124,2,0))</f>
        <v>0.05</v>
      </c>
      <c r="I101" s="53">
        <f t="shared" si="77"/>
        <v>3805.2000000000003</v>
      </c>
      <c r="J101" s="99" t="s">
        <v>224</v>
      </c>
      <c r="K101" s="153">
        <v>0.02</v>
      </c>
      <c r="L101" s="60">
        <f t="shared" si="84"/>
        <v>76.104000000000013</v>
      </c>
      <c r="M101" s="58">
        <f>IF(VLOOKUP(E101,'HOURLY RATES'!C$6:D$105,2,0)=0,$E$3,VLOOKUP(E101,'HOURLY RATES'!C$6:D$105,2,0))</f>
        <v>54</v>
      </c>
      <c r="N101" s="58">
        <f t="shared" si="85"/>
        <v>4109.6160000000009</v>
      </c>
      <c r="O101" s="61">
        <v>0.4</v>
      </c>
      <c r="P101" s="61">
        <f t="shared" si="80"/>
        <v>1522.0800000000002</v>
      </c>
      <c r="Q101" s="62">
        <f t="shared" si="81"/>
        <v>5631.6960000000008</v>
      </c>
      <c r="R101" s="155"/>
      <c r="S101" s="131">
        <f>((((N101*(1+$D$7))+(P101*(1+$D$5+$D$6)))*(1+$D$8)))/I101</f>
        <v>1.83094632</v>
      </c>
      <c r="T101" s="130">
        <f t="shared" si="82"/>
        <v>6967.1169368640003</v>
      </c>
    </row>
    <row r="102" spans="1:22" s="7" customFormat="1" x14ac:dyDescent="0.25">
      <c r="A102" s="152"/>
      <c r="B102" s="50"/>
      <c r="C102" s="63"/>
      <c r="D102" s="100"/>
      <c r="E102" s="178"/>
      <c r="F102" s="103"/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2" s="7" customFormat="1" x14ac:dyDescent="0.25">
      <c r="A103" s="152" t="str">
        <f>IF(J103&lt;&gt;"",1+MAX($A$18:A101),"")</f>
        <v/>
      </c>
      <c r="B103" s="50"/>
      <c r="C103" s="63"/>
      <c r="D103" s="100"/>
      <c r="E103" s="178"/>
      <c r="F103" s="172" t="s">
        <v>723</v>
      </c>
      <c r="G103" s="51"/>
      <c r="H103" s="52"/>
      <c r="I103" s="53"/>
      <c r="J103" s="99"/>
      <c r="K103" s="153"/>
      <c r="L103" s="60"/>
      <c r="M103" s="58"/>
      <c r="N103" s="58"/>
      <c r="O103" s="61"/>
      <c r="P103" s="61"/>
      <c r="Q103" s="62"/>
      <c r="R103" s="155"/>
      <c r="S103" s="131"/>
      <c r="T103" s="130"/>
    </row>
    <row r="104" spans="1:22" s="7" customFormat="1" ht="46.8" x14ac:dyDescent="0.25">
      <c r="A104" s="152">
        <f>IF(J104&lt;&gt;"",1+MAX($A$18:A103),"")</f>
        <v>46</v>
      </c>
      <c r="B104" s="50"/>
      <c r="C104" s="50"/>
      <c r="D104" s="100" t="s">
        <v>35</v>
      </c>
      <c r="E104" s="178" t="s">
        <v>104</v>
      </c>
      <c r="F104" s="175" t="s">
        <v>727</v>
      </c>
      <c r="G104" s="51">
        <f>12*8</f>
        <v>96</v>
      </c>
      <c r="H104" s="52">
        <f>IF(VLOOKUP(J104,'HOURLY RATES'!B$116:C$124,2,0)=0,$J$3,VLOOKUP(J104,'HOURLY RATES'!B$116:C$124,2,0))</f>
        <v>0</v>
      </c>
      <c r="I104" s="53">
        <f t="shared" ref="I104" si="89">(G104*(1+H104))</f>
        <v>96</v>
      </c>
      <c r="J104" s="99" t="s">
        <v>225</v>
      </c>
      <c r="K104" s="153">
        <v>1.23</v>
      </c>
      <c r="L104" s="60">
        <f t="shared" ref="L104:L105" si="90">K104*I104</f>
        <v>118.08</v>
      </c>
      <c r="M104" s="58">
        <f>IF(VLOOKUP(E104,'HOURLY RATES'!C$6:D$105,2,0)=0,$E$3,VLOOKUP(E104,'HOURLY RATES'!C$6:D$105,2,0))</f>
        <v>54</v>
      </c>
      <c r="N104" s="58">
        <f t="shared" ref="N104:N105" si="91">M104*L104</f>
        <v>6376.32</v>
      </c>
      <c r="O104" s="61">
        <v>28</v>
      </c>
      <c r="P104" s="61">
        <f t="shared" ref="P104:P105" si="92">O104*I104</f>
        <v>2688</v>
      </c>
      <c r="Q104" s="62">
        <f t="shared" ref="Q104:Q105" si="93">P104+N104</f>
        <v>9064.32</v>
      </c>
      <c r="R104" s="155"/>
      <c r="S104" s="131">
        <f>((((N104*(1+$D$7))+(P104*(1+$D$5+$D$6)))*(1+$D$8)))/I104</f>
        <v>116.98500239999997</v>
      </c>
      <c r="T104" s="130">
        <f t="shared" ref="T104:T105" si="94">S104*I104</f>
        <v>11230.560230399997</v>
      </c>
    </row>
    <row r="105" spans="1:22" s="7" customFormat="1" ht="46.8" x14ac:dyDescent="0.25">
      <c r="A105" s="152">
        <f>IF(J105&lt;&gt;"",1+MAX($A$18:A104),"")</f>
        <v>47</v>
      </c>
      <c r="B105" s="50"/>
      <c r="C105" s="50"/>
      <c r="D105" s="100" t="s">
        <v>35</v>
      </c>
      <c r="E105" s="178" t="s">
        <v>104</v>
      </c>
      <c r="F105" s="175" t="s">
        <v>728</v>
      </c>
      <c r="G105" s="51">
        <f>12*8</f>
        <v>96</v>
      </c>
      <c r="H105" s="52">
        <f>IF(VLOOKUP(J105,'HOURLY RATES'!B$116:C$124,2,0)=0,$J$3,VLOOKUP(J105,'HOURLY RATES'!B$116:C$124,2,0))</f>
        <v>0</v>
      </c>
      <c r="I105" s="53">
        <f t="shared" ref="I105" si="95">(G105*(1+H105))</f>
        <v>96</v>
      </c>
      <c r="J105" s="99" t="s">
        <v>225</v>
      </c>
      <c r="K105" s="153">
        <v>1.7999999999999999E-2</v>
      </c>
      <c r="L105" s="60">
        <f t="shared" si="90"/>
        <v>1.7279999999999998</v>
      </c>
      <c r="M105" s="58">
        <f>IF(VLOOKUP(E105,'HOURLY RATES'!C$6:D$105,2,0)=0,$E$3,VLOOKUP(E105,'HOURLY RATES'!C$6:D$105,2,0))</f>
        <v>54</v>
      </c>
      <c r="N105" s="58">
        <f t="shared" si="91"/>
        <v>93.311999999999983</v>
      </c>
      <c r="O105" s="61">
        <v>0.8</v>
      </c>
      <c r="P105" s="61">
        <f t="shared" si="92"/>
        <v>76.800000000000011</v>
      </c>
      <c r="Q105" s="62">
        <f t="shared" si="93"/>
        <v>170.11199999999999</v>
      </c>
      <c r="R105" s="155"/>
      <c r="S105" s="131">
        <f>((((N105*(1+$D$7))+(P105*(1+$D$5+$D$6)))*(1+$D$8)))/I105</f>
        <v>2.2149086399999995</v>
      </c>
      <c r="T105" s="130">
        <f t="shared" si="94"/>
        <v>212.63122943999997</v>
      </c>
    </row>
    <row r="106" spans="1:22" s="7" customFormat="1" x14ac:dyDescent="0.25">
      <c r="A106" s="215" t="str">
        <f>IF(J106&lt;&gt;"",1+MAX($A$18:A105),"")</f>
        <v/>
      </c>
      <c r="B106" s="225"/>
      <c r="C106" s="225"/>
      <c r="D106" s="101"/>
      <c r="E106" s="226"/>
      <c r="F106" s="227"/>
      <c r="G106" s="228"/>
      <c r="H106" s="229"/>
      <c r="I106" s="230"/>
      <c r="J106" s="102"/>
      <c r="K106" s="76"/>
      <c r="L106" s="231"/>
      <c r="M106" s="73"/>
      <c r="N106" s="232"/>
      <c r="O106" s="233"/>
      <c r="P106" s="233"/>
      <c r="Q106" s="234"/>
      <c r="R106" s="155"/>
      <c r="S106" s="131"/>
      <c r="T106" s="130"/>
    </row>
    <row r="107" spans="1:22" s="7" customFormat="1" x14ac:dyDescent="0.25">
      <c r="A107" s="304" t="s">
        <v>54</v>
      </c>
      <c r="B107" s="304"/>
      <c r="C107" s="305"/>
      <c r="D107" s="306"/>
      <c r="E107" s="306"/>
      <c r="F107" s="306"/>
      <c r="G107" s="306"/>
      <c r="H107" s="306"/>
      <c r="I107" s="306"/>
      <c r="J107" s="307"/>
      <c r="K107" s="236" t="s">
        <v>228</v>
      </c>
      <c r="L107" s="237">
        <f>SUM(L18:L106)</f>
        <v>1354.173841668023</v>
      </c>
      <c r="M107" s="235" t="s">
        <v>229</v>
      </c>
      <c r="N107" s="238">
        <f>SUM(N18:N106)</f>
        <v>73125.387450073235</v>
      </c>
      <c r="O107" s="235" t="s">
        <v>230</v>
      </c>
      <c r="P107" s="238">
        <f>SUM(P18:P106)</f>
        <v>27901.7965</v>
      </c>
      <c r="Q107" s="239">
        <f>SUM(Q18:Q106)</f>
        <v>101027.18395007323</v>
      </c>
      <c r="R107" s="239">
        <f>SUM(R18:R106)</f>
        <v>101027.18395007325</v>
      </c>
      <c r="S107" s="132"/>
      <c r="T107" s="133">
        <f>SUM(T18:T106)</f>
        <v>125025.60300194887</v>
      </c>
      <c r="U107" s="1"/>
      <c r="V107" s="1"/>
    </row>
    <row r="108" spans="1:22" s="7" customFormat="1" ht="16.2" thickBot="1" x14ac:dyDescent="0.3">
      <c r="A108" s="302" t="s">
        <v>55</v>
      </c>
      <c r="B108" s="303"/>
      <c r="C108" s="38"/>
      <c r="D108" s="38"/>
      <c r="E108" s="105"/>
      <c r="F108" s="39"/>
      <c r="G108" s="40"/>
      <c r="H108" s="40"/>
      <c r="I108" s="40"/>
      <c r="J108" s="38"/>
      <c r="K108" s="38"/>
      <c r="L108" s="38"/>
      <c r="M108" s="77">
        <f>D5</f>
        <v>6.9720000000000004E-2</v>
      </c>
      <c r="N108" s="78"/>
      <c r="O108" s="78"/>
      <c r="P108" s="78">
        <f>P107*M108</f>
        <v>1945.3132519800001</v>
      </c>
      <c r="Q108" s="78">
        <f>P108+N108</f>
        <v>1945.3132519800001</v>
      </c>
      <c r="R108" s="160">
        <f>Q108</f>
        <v>1945.3132519800001</v>
      </c>
      <c r="S108" s="132"/>
      <c r="T108" s="132"/>
      <c r="U108" s="1"/>
      <c r="V108" s="1"/>
    </row>
    <row r="109" spans="1:22" s="7" customFormat="1" ht="16.8" thickTop="1" thickBot="1" x14ac:dyDescent="0.3">
      <c r="A109" s="161" t="s">
        <v>231</v>
      </c>
      <c r="B109" s="47"/>
      <c r="C109" s="41"/>
      <c r="D109" s="41"/>
      <c r="E109" s="42"/>
      <c r="F109" s="43"/>
      <c r="G109" s="44"/>
      <c r="H109" s="44"/>
      <c r="I109" s="44"/>
      <c r="J109" s="41"/>
      <c r="K109" s="41"/>
      <c r="L109" s="41"/>
      <c r="M109" s="48">
        <f>D6</f>
        <v>0.2</v>
      </c>
      <c r="N109" s="46"/>
      <c r="O109" s="46"/>
      <c r="P109" s="46">
        <f>P107*M109</f>
        <v>5580.3593000000001</v>
      </c>
      <c r="Q109" s="46">
        <f>P109+N109</f>
        <v>5580.3593000000001</v>
      </c>
      <c r="R109" s="162">
        <f>Q109</f>
        <v>5580.3593000000001</v>
      </c>
      <c r="S109" s="132"/>
      <c r="T109" s="132"/>
      <c r="U109" s="1"/>
      <c r="V109" s="1"/>
    </row>
    <row r="110" spans="1:22" s="7" customFormat="1" ht="16.8" thickTop="1" thickBot="1" x14ac:dyDescent="0.3">
      <c r="A110" s="161" t="s">
        <v>232</v>
      </c>
      <c r="B110" s="47"/>
      <c r="C110" s="41"/>
      <c r="D110" s="41"/>
      <c r="E110" s="42"/>
      <c r="F110" s="43"/>
      <c r="G110" s="44"/>
      <c r="H110" s="44"/>
      <c r="I110" s="44"/>
      <c r="J110" s="41"/>
      <c r="K110" s="41"/>
      <c r="L110" s="41"/>
      <c r="M110" s="48">
        <f>D7</f>
        <v>0.2</v>
      </c>
      <c r="N110" s="46">
        <f>N107*M110</f>
        <v>14625.077490014648</v>
      </c>
      <c r="O110" s="46"/>
      <c r="P110" s="46"/>
      <c r="Q110" s="46">
        <f>P110+N110</f>
        <v>14625.077490014648</v>
      </c>
      <c r="R110" s="162">
        <f>Q110</f>
        <v>14625.077490014648</v>
      </c>
      <c r="S110" s="132"/>
      <c r="T110" s="132"/>
      <c r="U110" s="1"/>
      <c r="V110" s="1"/>
    </row>
    <row r="111" spans="1:22" s="7" customFormat="1" ht="16.8" thickTop="1" thickBot="1" x14ac:dyDescent="0.3">
      <c r="A111" s="300" t="s">
        <v>233</v>
      </c>
      <c r="B111" s="301"/>
      <c r="C111" s="41"/>
      <c r="D111" s="41"/>
      <c r="E111" s="42"/>
      <c r="F111" s="43"/>
      <c r="G111" s="44"/>
      <c r="H111" s="44"/>
      <c r="I111" s="44"/>
      <c r="J111" s="41"/>
      <c r="K111" s="41"/>
      <c r="L111" s="41"/>
      <c r="M111" s="45">
        <f>D8</f>
        <v>1.4999999999999999E-2</v>
      </c>
      <c r="N111" s="46">
        <f>(N107+N108+N109+N110)*M111</f>
        <v>1316.2569741013183</v>
      </c>
      <c r="O111" s="46"/>
      <c r="P111" s="46">
        <f>(P107+P108+P109+P110)*M111</f>
        <v>531.41203577970009</v>
      </c>
      <c r="Q111" s="46">
        <f>P111+N111</f>
        <v>1847.6690098810184</v>
      </c>
      <c r="R111" s="162">
        <f>Q111</f>
        <v>1847.6690098810184</v>
      </c>
      <c r="S111" s="132"/>
      <c r="T111" s="132"/>
      <c r="U111" s="1"/>
      <c r="V111" s="1"/>
    </row>
    <row r="112" spans="1:22" s="7" customFormat="1" ht="16.2" thickTop="1" x14ac:dyDescent="0.25">
      <c r="A112" s="298" t="s">
        <v>56</v>
      </c>
      <c r="B112" s="299"/>
      <c r="C112" s="163"/>
      <c r="D112" s="163"/>
      <c r="E112" s="164"/>
      <c r="F112" s="165"/>
      <c r="G112" s="166"/>
      <c r="H112" s="166"/>
      <c r="I112" s="166"/>
      <c r="J112" s="163"/>
      <c r="K112" s="163"/>
      <c r="L112" s="163"/>
      <c r="M112" s="167"/>
      <c r="N112" s="168">
        <f>SUM(N107:N111)</f>
        <v>89066.721914189198</v>
      </c>
      <c r="O112" s="167"/>
      <c r="P112" s="168">
        <f>SUM(P107:P111)</f>
        <v>35958.881087759706</v>
      </c>
      <c r="Q112" s="168">
        <f>SUM(Q107:Q111)</f>
        <v>125025.6030019489</v>
      </c>
      <c r="R112" s="169">
        <f>SUM(R107:R111)</f>
        <v>125025.60300194891</v>
      </c>
      <c r="S112" s="132"/>
      <c r="T112" s="133">
        <f>T107</f>
        <v>125025.60300194887</v>
      </c>
      <c r="U112" s="1"/>
      <c r="V112" s="1"/>
    </row>
  </sheetData>
  <autoFilter ref="J1:J112" xr:uid="{00000000-0001-0000-0300-000000000000}"/>
  <mergeCells count="8">
    <mergeCell ref="A111:B111"/>
    <mergeCell ref="A112:B112"/>
    <mergeCell ref="A2:R2"/>
    <mergeCell ref="B3:E3"/>
    <mergeCell ref="E16:F16"/>
    <mergeCell ref="A107:B107"/>
    <mergeCell ref="C107:J107"/>
    <mergeCell ref="A108:B108"/>
  </mergeCells>
  <dataValidations count="1">
    <dataValidation type="list" allowBlank="1" showInputMessage="1" showErrorMessage="1" sqref="E63" xr:uid="{0A7F9E02-4C41-4B1B-AD31-1E4F4F293D3D}">
      <formula1>#REF!</formula1>
    </dataValidation>
  </dataValidations>
  <hyperlinks>
    <hyperlink ref="D3:E3" location="'COST SUMMARY'!A1" display="CLICK HERE TO GO BACK TO COST SUMMARY" xr:uid="{AE8211ED-09CB-4F03-B3A4-BAFEC2FCA728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D0E4F6D-557E-4661-82D8-3F0A12BB361F}">
          <x14:formula1>
            <xm:f>'HOURLY RATES'!$C$6:$C$105</xm:f>
          </x14:formula1>
          <xm:sqref>E21:E32 E60:E62 E54:E57 E47:E51 E34:E36 E39:E44 E90:E105 E65:E84</xm:sqref>
        </x14:dataValidation>
        <x14:dataValidation type="list" allowBlank="1" showInputMessage="1" showErrorMessage="1" xr:uid="{9449657F-2730-4402-8C74-5874A517815B}">
          <x14:formula1>
            <xm:f>'HOURLY RATES'!$B$116:$B$126</xm:f>
          </x14:formula1>
          <xm:sqref>J19:J84 J86:J105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4C39-407A-47AA-B3B7-859083C85E05}">
  <sheetPr>
    <tabColor theme="5" tint="-0.499984740745262"/>
    <pageSetUpPr fitToPage="1"/>
  </sheetPr>
  <dimension ref="A1:V220"/>
  <sheetViews>
    <sheetView zoomScale="40" zoomScaleNormal="40" zoomScaleSheetLayoutView="70" workbookViewId="0">
      <pane ySplit="1" topLeftCell="A2" activePane="bottomLeft" state="frozen"/>
      <selection pane="bottomLeft" activeCell="F30" sqref="F30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Q215</f>
        <v>725037.12790905847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P215*D5</f>
        <v>14357.189855988001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P215*D6</f>
        <v>41185.283580000003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N215*D7</f>
        <v>103822.14200181171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13266.026150202873</v>
      </c>
      <c r="F8" s="185" t="s">
        <v>181</v>
      </c>
      <c r="G8" s="120"/>
      <c r="H8" s="184"/>
      <c r="I8" s="137"/>
      <c r="J8" s="138"/>
      <c r="K8" s="142" t="s">
        <v>832</v>
      </c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897667.76949706115</v>
      </c>
      <c r="F9" s="95"/>
      <c r="G9" s="120"/>
      <c r="H9" s="184"/>
      <c r="I9" s="137"/>
      <c r="J9" s="143" t="s">
        <v>183</v>
      </c>
      <c r="K9" s="26">
        <v>87261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87261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68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810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50750.205235058602</v>
      </c>
      <c r="S18" s="129">
        <f>U18</f>
        <v>674286.92267399991</v>
      </c>
      <c r="T18" s="130"/>
      <c r="U18" s="13">
        <f>SUM(Q67:Q214)</f>
        <v>674286.92267399991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124.86794864333332</v>
      </c>
      <c r="L27" s="60">
        <f t="shared" si="3"/>
        <v>124.86794864333332</v>
      </c>
      <c r="M27" s="58">
        <f>IF(VLOOKUP(E27,'HOURLY RATES'!C$6:D$105,2,0)=0,$E$3,VLOOKUP(E27,'HOURLY RATES'!C$6:D$105,2,0))</f>
        <v>54</v>
      </c>
      <c r="N27" s="58">
        <f t="shared" si="4"/>
        <v>6742.8692267399992</v>
      </c>
      <c r="O27" s="61"/>
      <c r="P27" s="61">
        <f t="shared" si="0"/>
        <v>0</v>
      </c>
      <c r="Q27" s="62">
        <f t="shared" si="5"/>
        <v>6742.8692267399992</v>
      </c>
      <c r="R27" s="151"/>
      <c r="S27" s="131">
        <f t="shared" si="1"/>
        <v>8212.8147181693184</v>
      </c>
      <c r="T27" s="130">
        <f t="shared" si="6"/>
        <v>8212.8147181693184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71.923938418559985</v>
      </c>
      <c r="L34" s="60">
        <f t="shared" ref="L34:L36" si="8">K34*I34</f>
        <v>71.923938418559985</v>
      </c>
      <c r="M34" s="58">
        <f>IF(VLOOKUP(E34,'HOURLY RATES'!C$6:D$105,2,0)=0,$E$3,VLOOKUP(E34,'HOURLY RATES'!C$6:D$105,2,0))</f>
        <v>54</v>
      </c>
      <c r="N34" s="58">
        <f t="shared" ref="N34:N36" si="9">M34*L34</f>
        <v>3883.8926746022394</v>
      </c>
      <c r="O34" s="61"/>
      <c r="P34" s="61">
        <f t="shared" ref="P34:P36" si="10">O34*I34</f>
        <v>0</v>
      </c>
      <c r="Q34" s="62">
        <f t="shared" ref="Q34:Q36" si="11">P34+N34</f>
        <v>3883.8926746022394</v>
      </c>
      <c r="R34" s="151"/>
      <c r="S34" s="131">
        <f>((((N34*(1+$D$7))+(P34*(1+$D$5+$D$6)))*(1+$D$8)))/I34</f>
        <v>4730.5812776655266</v>
      </c>
      <c r="T34" s="130">
        <f t="shared" ref="T34:T36" si="12">S34*I34</f>
        <v>4730.5812776655266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143.66057491415498</v>
      </c>
      <c r="L36" s="60">
        <f t="shared" si="8"/>
        <v>143.66057491415498</v>
      </c>
      <c r="M36" s="58">
        <f>IF(VLOOKUP(E36,'HOURLY RATES'!C$6:D$105,2,0)=0,$E$3,VLOOKUP(E36,'HOURLY RATES'!C$6:D$105,2,0))</f>
        <v>54</v>
      </c>
      <c r="N36" s="58">
        <f t="shared" si="9"/>
        <v>7757.6710453643691</v>
      </c>
      <c r="O36" s="61"/>
      <c r="P36" s="61">
        <f t="shared" si="10"/>
        <v>0</v>
      </c>
      <c r="Q36" s="62">
        <f t="shared" si="11"/>
        <v>7757.6710453643691</v>
      </c>
      <c r="R36" s="151"/>
      <c r="S36" s="131">
        <f>((((N36*(1+$D$7))+(P36*(1+$D$5+$D$6)))*(1+$D$8)))/I36</f>
        <v>9448.8433332537988</v>
      </c>
      <c r="T36" s="130">
        <f t="shared" si="12"/>
        <v>9448.8433332537988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274.70948701533331</v>
      </c>
      <c r="L44" s="60">
        <f t="shared" si="14"/>
        <v>274.70948701533331</v>
      </c>
      <c r="M44" s="58">
        <f>IF(VLOOKUP(E44,'HOURLY RATES'!C$6:D$105,2,0)=0,$E$3,VLOOKUP(E44,'HOURLY RATES'!C$6:D$105,2,0))</f>
        <v>54</v>
      </c>
      <c r="N44" s="58">
        <f t="shared" si="15"/>
        <v>14834.312298827999</v>
      </c>
      <c r="O44" s="61"/>
      <c r="P44" s="61">
        <f t="shared" si="16"/>
        <v>0</v>
      </c>
      <c r="Q44" s="62">
        <f t="shared" si="5"/>
        <v>14834.312298827999</v>
      </c>
      <c r="R44" s="151"/>
      <c r="S44" s="131">
        <f t="shared" si="17"/>
        <v>18068.192379972501</v>
      </c>
      <c r="T44" s="130">
        <f t="shared" si="18"/>
        <v>18068.192379972501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324.65666647266664</v>
      </c>
      <c r="L65" s="60">
        <f t="shared" ref="L65" si="34">K65*I65</f>
        <v>324.65666647266664</v>
      </c>
      <c r="M65" s="58">
        <f>IF(VLOOKUP(E65,'HOURLY RATES'!C$6:D$105,2,0)=0,$E$3,VLOOKUP(E65,'HOURLY RATES'!C$6:D$105,2,0))</f>
        <v>54</v>
      </c>
      <c r="N65" s="58">
        <f t="shared" ref="N65" si="35">M65*L65</f>
        <v>17531.459989523999</v>
      </c>
      <c r="O65" s="61"/>
      <c r="P65" s="61">
        <f t="shared" ref="P65" si="36">O65*I65</f>
        <v>0</v>
      </c>
      <c r="Q65" s="62">
        <f t="shared" ref="Q65" si="37">P65+N65</f>
        <v>17531.459989523999</v>
      </c>
      <c r="R65" s="151"/>
      <c r="S65" s="131">
        <f>((((N65*(1+$D$7))+(P65*(1+$D$5+$D$6)))*(1+$D$8)))/I65</f>
        <v>21353.318267240225</v>
      </c>
      <c r="T65" s="130">
        <f>S65*I65</f>
        <v>21353.318267240225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SUM(Q68:Q213)</f>
        <v>674286.92267399991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3" t="s">
        <v>718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ht="18" x14ac:dyDescent="0.25">
      <c r="A70" s="152" t="str">
        <f>IF(J70&lt;&gt;"",1+MAX($A$18:A69),"")</f>
        <v/>
      </c>
      <c r="B70" s="50"/>
      <c r="C70" s="63"/>
      <c r="D70" s="100"/>
      <c r="E70" s="178"/>
      <c r="F70" s="174" t="s">
        <v>717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x14ac:dyDescent="0.25">
      <c r="A71" s="152" t="str">
        <f>IF(J71&lt;&gt;"",1+MAX($A$18:A70),"")</f>
        <v/>
      </c>
      <c r="B71" s="50"/>
      <c r="C71" s="63"/>
      <c r="D71" s="100"/>
      <c r="E71" s="178"/>
      <c r="F71" s="172" t="s">
        <v>722</v>
      </c>
      <c r="G71" s="51"/>
      <c r="H71" s="52"/>
      <c r="I71" s="53"/>
      <c r="J71" s="99"/>
      <c r="K71" s="153"/>
      <c r="L71" s="60"/>
      <c r="M71" s="58"/>
      <c r="N71" s="58"/>
      <c r="O71" s="61"/>
      <c r="P71" s="61"/>
      <c r="Q71" s="62"/>
      <c r="R71" s="155"/>
      <c r="S71" s="131"/>
      <c r="T71" s="130"/>
    </row>
    <row r="72" spans="1:20" s="7" customFormat="1" ht="31.2" x14ac:dyDescent="0.25">
      <c r="A72" s="152">
        <f>IF(J72&lt;&gt;"",1+MAX($A$18:A71),"")</f>
        <v>34</v>
      </c>
      <c r="B72" s="50"/>
      <c r="C72" s="50"/>
      <c r="D72" s="100" t="s">
        <v>35</v>
      </c>
      <c r="E72" s="178" t="s">
        <v>104</v>
      </c>
      <c r="F72" s="175" t="s">
        <v>770</v>
      </c>
      <c r="G72" s="51">
        <v>211</v>
      </c>
      <c r="H72" s="52">
        <f>IF(VLOOKUP(J72,'HOURLY RATES'!B$116:C$124,2,0)=0,$J$3,VLOOKUP(J72,'HOURLY RATES'!B$116:C$124,2,0))</f>
        <v>0.05</v>
      </c>
      <c r="I72" s="53">
        <f t="shared" ref="I72:I78" si="38">(G72*(1+H72))</f>
        <v>221.55</v>
      </c>
      <c r="J72" s="99" t="s">
        <v>224</v>
      </c>
      <c r="K72" s="153">
        <v>2.1999999999999999E-2</v>
      </c>
      <c r="L72" s="60">
        <f t="shared" ref="L72:L78" si="39">K72*I72</f>
        <v>4.8741000000000003</v>
      </c>
      <c r="M72" s="58">
        <f>IF(VLOOKUP(E72,'HOURLY RATES'!C$6:D$105,2,0)=0,$E$3,VLOOKUP(E72,'HOURLY RATES'!C$6:D$105,2,0))</f>
        <v>54</v>
      </c>
      <c r="N72" s="58">
        <f t="shared" ref="N72:N78" si="40">M72*L72</f>
        <v>263.20140000000004</v>
      </c>
      <c r="O72" s="61">
        <v>0.4</v>
      </c>
      <c r="P72" s="61">
        <f t="shared" ref="P72:P78" si="41">O72*I72</f>
        <v>88.62</v>
      </c>
      <c r="Q72" s="62">
        <f t="shared" ref="Q72:Q78" si="42">P72+N72</f>
        <v>351.82140000000004</v>
      </c>
      <c r="R72" s="155"/>
      <c r="S72" s="131">
        <f t="shared" ref="S72:S78" si="43">((((N72*(1+$D$7))+(P72*(1+$D$5+$D$6)))*(1+$D$8)))/I72</f>
        <v>1.9624903200000001</v>
      </c>
      <c r="T72" s="130">
        <f t="shared" ref="T72:T78" si="44">S72*I72</f>
        <v>434.78973039600004</v>
      </c>
    </row>
    <row r="73" spans="1:20" s="7" customFormat="1" ht="31.2" x14ac:dyDescent="0.25">
      <c r="A73" s="152">
        <f>IF(J73&lt;&gt;"",1+MAX($A$18:A72),"")</f>
        <v>35</v>
      </c>
      <c r="B73" s="50"/>
      <c r="C73" s="50"/>
      <c r="D73" s="100" t="s">
        <v>35</v>
      </c>
      <c r="E73" s="178" t="s">
        <v>104</v>
      </c>
      <c r="F73" s="175" t="s">
        <v>771</v>
      </c>
      <c r="G73" s="51">
        <v>6310</v>
      </c>
      <c r="H73" s="52">
        <f>IF(VLOOKUP(J73,'HOURLY RATES'!B$116:C$124,2,0)=0,$J$3,VLOOKUP(J73,'HOURLY RATES'!B$116:C$124,2,0))</f>
        <v>0.05</v>
      </c>
      <c r="I73" s="53">
        <f t="shared" si="38"/>
        <v>6625.5</v>
      </c>
      <c r="J73" s="99" t="s">
        <v>224</v>
      </c>
      <c r="K73" s="153">
        <v>2.1999999999999999E-2</v>
      </c>
      <c r="L73" s="60">
        <f t="shared" si="39"/>
        <v>145.761</v>
      </c>
      <c r="M73" s="58">
        <f>IF(VLOOKUP(E73,'HOURLY RATES'!C$6:D$105,2,0)=0,$E$3,VLOOKUP(E73,'HOURLY RATES'!C$6:D$105,2,0))</f>
        <v>54</v>
      </c>
      <c r="N73" s="58">
        <f t="shared" si="40"/>
        <v>7871.0940000000001</v>
      </c>
      <c r="O73" s="61">
        <v>0.4</v>
      </c>
      <c r="P73" s="61">
        <f t="shared" si="41"/>
        <v>2650.2000000000003</v>
      </c>
      <c r="Q73" s="62">
        <f t="shared" si="42"/>
        <v>10521.294</v>
      </c>
      <c r="R73" s="155"/>
      <c r="S73" s="131">
        <f t="shared" si="43"/>
        <v>1.9624903199999997</v>
      </c>
      <c r="T73" s="130">
        <f t="shared" si="44"/>
        <v>13002.479615159999</v>
      </c>
    </row>
    <row r="74" spans="1:20" s="7" customFormat="1" ht="31.2" x14ac:dyDescent="0.25">
      <c r="A74" s="152">
        <f>IF(J74&lt;&gt;"",1+MAX($A$18:A73),"")</f>
        <v>36</v>
      </c>
      <c r="B74" s="50"/>
      <c r="C74" s="50"/>
      <c r="D74" s="100" t="s">
        <v>35</v>
      </c>
      <c r="E74" s="178" t="s">
        <v>104</v>
      </c>
      <c r="F74" s="175" t="s">
        <v>772</v>
      </c>
      <c r="G74" s="51">
        <v>389</v>
      </c>
      <c r="H74" s="52">
        <f>IF(VLOOKUP(J74,'HOURLY RATES'!B$116:C$124,2,0)=0,$J$3,VLOOKUP(J74,'HOURLY RATES'!B$116:C$124,2,0))</f>
        <v>0.05</v>
      </c>
      <c r="I74" s="53">
        <f t="shared" si="38"/>
        <v>408.45000000000005</v>
      </c>
      <c r="J74" s="99" t="s">
        <v>224</v>
      </c>
      <c r="K74" s="153">
        <v>2.1999999999999999E-2</v>
      </c>
      <c r="L74" s="60">
        <f t="shared" si="39"/>
        <v>8.9859000000000009</v>
      </c>
      <c r="M74" s="58">
        <f>IF(VLOOKUP(E74,'HOURLY RATES'!C$6:D$105,2,0)=0,$E$3,VLOOKUP(E74,'HOURLY RATES'!C$6:D$105,2,0))</f>
        <v>54</v>
      </c>
      <c r="N74" s="58">
        <f t="shared" si="40"/>
        <v>485.23860000000002</v>
      </c>
      <c r="O74" s="61">
        <v>0.4</v>
      </c>
      <c r="P74" s="61">
        <f t="shared" si="41"/>
        <v>163.38000000000002</v>
      </c>
      <c r="Q74" s="62">
        <f t="shared" si="42"/>
        <v>648.61860000000001</v>
      </c>
      <c r="R74" s="155"/>
      <c r="S74" s="131">
        <f t="shared" si="43"/>
        <v>1.9624903199999997</v>
      </c>
      <c r="T74" s="130">
        <f t="shared" si="44"/>
        <v>801.57917120399998</v>
      </c>
    </row>
    <row r="75" spans="1:20" s="7" customFormat="1" ht="31.2" x14ac:dyDescent="0.25">
      <c r="A75" s="152">
        <f>IF(J75&lt;&gt;"",1+MAX($A$18:A74),"")</f>
        <v>37</v>
      </c>
      <c r="B75" s="50"/>
      <c r="C75" s="50"/>
      <c r="D75" s="100" t="s">
        <v>35</v>
      </c>
      <c r="E75" s="178" t="s">
        <v>104</v>
      </c>
      <c r="F75" s="175" t="s">
        <v>773</v>
      </c>
      <c r="G75" s="51">
        <v>308</v>
      </c>
      <c r="H75" s="52">
        <f>IF(VLOOKUP(J75,'HOURLY RATES'!B$116:C$124,2,0)=0,$J$3,VLOOKUP(J75,'HOURLY RATES'!B$116:C$124,2,0))</f>
        <v>0.05</v>
      </c>
      <c r="I75" s="53">
        <f t="shared" si="38"/>
        <v>323.40000000000003</v>
      </c>
      <c r="J75" s="99" t="s">
        <v>224</v>
      </c>
      <c r="K75" s="153">
        <v>2.1999999999999999E-2</v>
      </c>
      <c r="L75" s="60">
        <f t="shared" si="39"/>
        <v>7.1148000000000007</v>
      </c>
      <c r="M75" s="58">
        <f>IF(VLOOKUP(E75,'HOURLY RATES'!C$6:D$105,2,0)=0,$E$3,VLOOKUP(E75,'HOURLY RATES'!C$6:D$105,2,0))</f>
        <v>54</v>
      </c>
      <c r="N75" s="58">
        <f t="shared" si="40"/>
        <v>384.19920000000002</v>
      </c>
      <c r="O75" s="61">
        <v>0.4</v>
      </c>
      <c r="P75" s="61">
        <f t="shared" si="41"/>
        <v>129.36000000000001</v>
      </c>
      <c r="Q75" s="62">
        <f t="shared" si="42"/>
        <v>513.55920000000003</v>
      </c>
      <c r="R75" s="155"/>
      <c r="S75" s="131">
        <f t="shared" si="43"/>
        <v>1.9624903199999995</v>
      </c>
      <c r="T75" s="130">
        <f t="shared" si="44"/>
        <v>634.66936948799992</v>
      </c>
    </row>
    <row r="76" spans="1:20" s="7" customFormat="1" ht="31.2" x14ac:dyDescent="0.25">
      <c r="A76" s="152">
        <f>IF(J76&lt;&gt;"",1+MAX($A$18:A75),"")</f>
        <v>38</v>
      </c>
      <c r="B76" s="50"/>
      <c r="C76" s="50"/>
      <c r="D76" s="100" t="s">
        <v>35</v>
      </c>
      <c r="E76" s="178" t="s">
        <v>104</v>
      </c>
      <c r="F76" s="175" t="s">
        <v>774</v>
      </c>
      <c r="G76" s="51">
        <v>55</v>
      </c>
      <c r="H76" s="52">
        <f>IF(VLOOKUP(J76,'HOURLY RATES'!B$116:C$124,2,0)=0,$J$3,VLOOKUP(J76,'HOURLY RATES'!B$116:C$124,2,0))</f>
        <v>0.05</v>
      </c>
      <c r="I76" s="53">
        <f t="shared" si="38"/>
        <v>57.75</v>
      </c>
      <c r="J76" s="99" t="s">
        <v>224</v>
      </c>
      <c r="K76" s="153">
        <v>2.1999999999999999E-2</v>
      </c>
      <c r="L76" s="60">
        <f t="shared" si="39"/>
        <v>1.2705</v>
      </c>
      <c r="M76" s="58">
        <f>IF(VLOOKUP(E76,'HOURLY RATES'!C$6:D$105,2,0)=0,$E$3,VLOOKUP(E76,'HOURLY RATES'!C$6:D$105,2,0))</f>
        <v>54</v>
      </c>
      <c r="N76" s="58">
        <f t="shared" si="40"/>
        <v>68.606999999999999</v>
      </c>
      <c r="O76" s="61">
        <v>0.4</v>
      </c>
      <c r="P76" s="61">
        <f t="shared" si="41"/>
        <v>23.1</v>
      </c>
      <c r="Q76" s="62">
        <f t="shared" si="42"/>
        <v>91.706999999999994</v>
      </c>
      <c r="R76" s="155"/>
      <c r="S76" s="131">
        <f t="shared" si="43"/>
        <v>1.9624903199999999</v>
      </c>
      <c r="T76" s="130">
        <f t="shared" si="44"/>
        <v>113.33381598</v>
      </c>
    </row>
    <row r="77" spans="1:20" s="7" customFormat="1" ht="31.2" x14ac:dyDescent="0.25">
      <c r="A77" s="152">
        <f>IF(J77&lt;&gt;"",1+MAX($A$18:A76),"")</f>
        <v>39</v>
      </c>
      <c r="B77" s="50"/>
      <c r="C77" s="50"/>
      <c r="D77" s="100" t="s">
        <v>35</v>
      </c>
      <c r="E77" s="178" t="s">
        <v>104</v>
      </c>
      <c r="F77" s="175" t="s">
        <v>775</v>
      </c>
      <c r="G77" s="51">
        <v>370</v>
      </c>
      <c r="H77" s="52">
        <f>IF(VLOOKUP(J77,'HOURLY RATES'!B$116:C$124,2,0)=0,$J$3,VLOOKUP(J77,'HOURLY RATES'!B$116:C$124,2,0))</f>
        <v>0.05</v>
      </c>
      <c r="I77" s="53">
        <f t="shared" si="38"/>
        <v>388.5</v>
      </c>
      <c r="J77" s="99" t="s">
        <v>224</v>
      </c>
      <c r="K77" s="153">
        <v>2.1999999999999999E-2</v>
      </c>
      <c r="L77" s="60">
        <f t="shared" si="39"/>
        <v>8.5469999999999988</v>
      </c>
      <c r="M77" s="58">
        <f>IF(VLOOKUP(E77,'HOURLY RATES'!C$6:D$105,2,0)=0,$E$3,VLOOKUP(E77,'HOURLY RATES'!C$6:D$105,2,0))</f>
        <v>54</v>
      </c>
      <c r="N77" s="58">
        <f t="shared" si="40"/>
        <v>461.53799999999995</v>
      </c>
      <c r="O77" s="61">
        <v>0.4</v>
      </c>
      <c r="P77" s="61">
        <f t="shared" si="41"/>
        <v>155.4</v>
      </c>
      <c r="Q77" s="62">
        <f t="shared" si="42"/>
        <v>616.93799999999999</v>
      </c>
      <c r="R77" s="155"/>
      <c r="S77" s="131">
        <f t="shared" si="43"/>
        <v>1.9624903199999997</v>
      </c>
      <c r="T77" s="130">
        <f t="shared" si="44"/>
        <v>762.42748931999984</v>
      </c>
    </row>
    <row r="78" spans="1:20" s="7" customFormat="1" x14ac:dyDescent="0.25">
      <c r="A78" s="152">
        <f>IF(J78&lt;&gt;"",1+MAX($A$18:A77),"")</f>
        <v>40</v>
      </c>
      <c r="B78" s="50"/>
      <c r="C78" s="50"/>
      <c r="D78" s="100" t="s">
        <v>35</v>
      </c>
      <c r="E78" s="178" t="s">
        <v>104</v>
      </c>
      <c r="F78" s="175" t="s">
        <v>749</v>
      </c>
      <c r="G78" s="51">
        <v>1242</v>
      </c>
      <c r="H78" s="52">
        <f>IF(VLOOKUP(J78,'HOURLY RATES'!B$116:C$124,2,0)=0,$J$3,VLOOKUP(J78,'HOURLY RATES'!B$116:C$124,2,0))</f>
        <v>0.05</v>
      </c>
      <c r="I78" s="53">
        <f t="shared" si="38"/>
        <v>1304.1000000000001</v>
      </c>
      <c r="J78" s="99" t="s">
        <v>224</v>
      </c>
      <c r="K78" s="153">
        <v>2.1999999999999999E-2</v>
      </c>
      <c r="L78" s="60">
        <f t="shared" si="39"/>
        <v>28.690200000000001</v>
      </c>
      <c r="M78" s="58">
        <f>IF(VLOOKUP(E78,'HOURLY RATES'!C$6:D$105,2,0)=0,$E$3,VLOOKUP(E78,'HOURLY RATES'!C$6:D$105,2,0))</f>
        <v>54</v>
      </c>
      <c r="N78" s="58">
        <f t="shared" si="40"/>
        <v>1549.2708</v>
      </c>
      <c r="O78" s="61">
        <v>0.4</v>
      </c>
      <c r="P78" s="61">
        <f t="shared" si="41"/>
        <v>521.6400000000001</v>
      </c>
      <c r="Q78" s="62">
        <f t="shared" si="42"/>
        <v>2070.9108000000001</v>
      </c>
      <c r="R78" s="155"/>
      <c r="S78" s="131">
        <f t="shared" si="43"/>
        <v>1.9624903199999997</v>
      </c>
      <c r="T78" s="130">
        <f t="shared" si="44"/>
        <v>2559.2836263119998</v>
      </c>
    </row>
    <row r="79" spans="1:20" s="7" customFormat="1" x14ac:dyDescent="0.25">
      <c r="A79" s="152" t="str">
        <f>IF(J79&lt;&gt;"",1+MAX($A$18:A75),"")</f>
        <v/>
      </c>
      <c r="B79" s="50"/>
      <c r="C79" s="63"/>
      <c r="D79" s="100"/>
      <c r="E79" s="178"/>
      <c r="F79" s="103" t="s">
        <v>222</v>
      </c>
      <c r="G79" s="51"/>
      <c r="H79" s="52"/>
      <c r="I79" s="53"/>
      <c r="J79" s="99"/>
      <c r="K79" s="153"/>
      <c r="L79" s="60"/>
      <c r="M79" s="58"/>
      <c r="N79" s="58"/>
      <c r="O79" s="61"/>
      <c r="P79" s="61"/>
      <c r="Q79" s="62"/>
      <c r="R79" s="155"/>
      <c r="S79" s="131"/>
      <c r="T79" s="130"/>
    </row>
    <row r="80" spans="1:20" s="7" customFormat="1" x14ac:dyDescent="0.25">
      <c r="A80" s="152" t="str">
        <f>IF(J80&lt;&gt;"",1+MAX($A$18:A79),"")</f>
        <v/>
      </c>
      <c r="B80" s="50"/>
      <c r="C80" s="63"/>
      <c r="D80" s="100"/>
      <c r="E80" s="178"/>
      <c r="F80" s="172" t="s">
        <v>719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0" s="7" customFormat="1" ht="31.2" x14ac:dyDescent="0.25">
      <c r="A81" s="152">
        <f>IF(J81&lt;&gt;"",1+MAX($A$18:A80),"")</f>
        <v>41</v>
      </c>
      <c r="B81" s="50"/>
      <c r="C81" s="50"/>
      <c r="D81" s="100" t="s">
        <v>35</v>
      </c>
      <c r="E81" s="178" t="s">
        <v>104</v>
      </c>
      <c r="F81" s="175" t="s">
        <v>747</v>
      </c>
      <c r="G81" s="51">
        <v>617.32000000000005</v>
      </c>
      <c r="H81" s="52">
        <f>IF(VLOOKUP(J81,'HOURLY RATES'!B$116:C$124,2,0)=0,$J$3,VLOOKUP(J81,'HOURLY RATES'!B$116:C$124,2,0))</f>
        <v>0.05</v>
      </c>
      <c r="I81" s="53">
        <f t="shared" ref="I81:I84" si="45">(G81*(1+H81))</f>
        <v>648.18600000000004</v>
      </c>
      <c r="J81" s="99" t="s">
        <v>226</v>
      </c>
      <c r="K81" s="153">
        <v>1.7999999999999999E-2</v>
      </c>
      <c r="L81" s="60">
        <f t="shared" ref="L81:L84" si="46">K81*I81</f>
        <v>11.667348</v>
      </c>
      <c r="M81" s="58">
        <f>IF(VLOOKUP(E81,'HOURLY RATES'!C$6:D$105,2,0)=0,$E$3,VLOOKUP(E81,'HOURLY RATES'!C$6:D$105,2,0))</f>
        <v>54</v>
      </c>
      <c r="N81" s="58">
        <f t="shared" ref="N81:N84" si="47">M81*L81</f>
        <v>630.03679199999999</v>
      </c>
      <c r="O81" s="61">
        <v>0.8</v>
      </c>
      <c r="P81" s="61">
        <f t="shared" ref="P81:P84" si="48">O81*I81</f>
        <v>518.54880000000003</v>
      </c>
      <c r="Q81" s="62">
        <f t="shared" ref="Q81:Q84" si="49">P81+N81</f>
        <v>1148.5855919999999</v>
      </c>
      <c r="R81" s="155"/>
      <c r="S81" s="131">
        <f>((((N81*(1+$D$7))+(P81*(1+$D$5+$D$6)))*(1+$D$8)))/I81</f>
        <v>2.2149086399999991</v>
      </c>
      <c r="T81" s="130">
        <f t="shared" ref="T81:T84" si="50">S81*I81</f>
        <v>1435.6727717270394</v>
      </c>
    </row>
    <row r="82" spans="1:20" s="7" customFormat="1" ht="31.2" x14ac:dyDescent="0.25">
      <c r="A82" s="152">
        <f>IF(J82&lt;&gt;"",1+MAX($A$18:A81),"")</f>
        <v>42</v>
      </c>
      <c r="B82" s="50"/>
      <c r="C82" s="50"/>
      <c r="D82" s="100" t="s">
        <v>35</v>
      </c>
      <c r="E82" s="178" t="s">
        <v>104</v>
      </c>
      <c r="F82" s="175" t="s">
        <v>776</v>
      </c>
      <c r="G82" s="51">
        <v>59.33</v>
      </c>
      <c r="H82" s="52">
        <f>IF(VLOOKUP(J82,'HOURLY RATES'!B$116:C$124,2,0)=0,$J$3,VLOOKUP(J82,'HOURLY RATES'!B$116:C$124,2,0))</f>
        <v>0.05</v>
      </c>
      <c r="I82" s="53">
        <f t="shared" si="45"/>
        <v>62.296500000000002</v>
      </c>
      <c r="J82" s="99" t="s">
        <v>226</v>
      </c>
      <c r="K82" s="153">
        <v>1.7999999999999999E-2</v>
      </c>
      <c r="L82" s="60">
        <f t="shared" si="46"/>
        <v>1.121337</v>
      </c>
      <c r="M82" s="58">
        <f>IF(VLOOKUP(E82,'HOURLY RATES'!C$6:D$105,2,0)=0,$E$3,VLOOKUP(E82,'HOURLY RATES'!C$6:D$105,2,0))</f>
        <v>54</v>
      </c>
      <c r="N82" s="58">
        <f t="shared" si="47"/>
        <v>60.552198000000004</v>
      </c>
      <c r="O82" s="61">
        <v>0.8</v>
      </c>
      <c r="P82" s="61">
        <f t="shared" si="48"/>
        <v>49.837200000000003</v>
      </c>
      <c r="Q82" s="62">
        <f t="shared" si="49"/>
        <v>110.389398</v>
      </c>
      <c r="R82" s="155"/>
      <c r="S82" s="131">
        <f>((((N82*(1+$D$7))+(P82*(1+$D$5+$D$6)))*(1+$D$8)))/I82</f>
        <v>2.21490864</v>
      </c>
      <c r="T82" s="130">
        <f t="shared" si="50"/>
        <v>137.98105609176</v>
      </c>
    </row>
    <row r="83" spans="1:20" s="7" customFormat="1" ht="31.2" x14ac:dyDescent="0.25">
      <c r="A83" s="152">
        <f>IF(J83&lt;&gt;"",1+MAX($A$18:A82),"")</f>
        <v>43</v>
      </c>
      <c r="B83" s="50"/>
      <c r="C83" s="50"/>
      <c r="D83" s="100" t="s">
        <v>35</v>
      </c>
      <c r="E83" s="178" t="s">
        <v>104</v>
      </c>
      <c r="F83" s="175" t="s">
        <v>777</v>
      </c>
      <c r="G83" s="51">
        <v>66.53</v>
      </c>
      <c r="H83" s="52">
        <f>IF(VLOOKUP(J83,'HOURLY RATES'!B$116:C$124,2,0)=0,$J$3,VLOOKUP(J83,'HOURLY RATES'!B$116:C$124,2,0))</f>
        <v>0.05</v>
      </c>
      <c r="I83" s="53">
        <f t="shared" si="45"/>
        <v>69.856500000000011</v>
      </c>
      <c r="J83" s="99" t="s">
        <v>226</v>
      </c>
      <c r="K83" s="153">
        <v>1.7999999999999999E-2</v>
      </c>
      <c r="L83" s="60">
        <f t="shared" si="46"/>
        <v>1.257417</v>
      </c>
      <c r="M83" s="58">
        <f>IF(VLOOKUP(E83,'HOURLY RATES'!C$6:D$105,2,0)=0,$E$3,VLOOKUP(E83,'HOURLY RATES'!C$6:D$105,2,0))</f>
        <v>54</v>
      </c>
      <c r="N83" s="58">
        <f t="shared" si="47"/>
        <v>67.900518000000005</v>
      </c>
      <c r="O83" s="61">
        <v>0.8</v>
      </c>
      <c r="P83" s="61">
        <f t="shared" si="48"/>
        <v>55.885200000000012</v>
      </c>
      <c r="Q83" s="62">
        <f t="shared" si="49"/>
        <v>123.78571800000002</v>
      </c>
      <c r="R83" s="155"/>
      <c r="S83" s="131">
        <f>((((N83*(1+$D$7))+(P83*(1+$D$5+$D$6)))*(1+$D$8)))/I83</f>
        <v>2.2149086399999995</v>
      </c>
      <c r="T83" s="130">
        <f t="shared" si="50"/>
        <v>154.72576541015999</v>
      </c>
    </row>
    <row r="84" spans="1:20" s="7" customFormat="1" ht="31.2" x14ac:dyDescent="0.25">
      <c r="A84" s="152">
        <f>IF(J84&lt;&gt;"",1+MAX($A$18:A83),"")</f>
        <v>44</v>
      </c>
      <c r="B84" s="50"/>
      <c r="C84" s="50"/>
      <c r="D84" s="100" t="s">
        <v>35</v>
      </c>
      <c r="E84" s="178" t="s">
        <v>104</v>
      </c>
      <c r="F84" s="175" t="s">
        <v>778</v>
      </c>
      <c r="G84" s="51">
        <v>2010.08</v>
      </c>
      <c r="H84" s="52">
        <f>IF(VLOOKUP(J84,'HOURLY RATES'!B$116:C$124,2,0)=0,$J$3,VLOOKUP(J84,'HOURLY RATES'!B$116:C$124,2,0))</f>
        <v>0.05</v>
      </c>
      <c r="I84" s="53">
        <f t="shared" si="45"/>
        <v>2110.5839999999998</v>
      </c>
      <c r="J84" s="99" t="s">
        <v>226</v>
      </c>
      <c r="K84" s="153">
        <v>1.7999999999999999E-2</v>
      </c>
      <c r="L84" s="60">
        <f t="shared" si="46"/>
        <v>37.990511999999995</v>
      </c>
      <c r="M84" s="58">
        <f>IF(VLOOKUP(E84,'HOURLY RATES'!C$6:D$105,2,0)=0,$E$3,VLOOKUP(E84,'HOURLY RATES'!C$6:D$105,2,0))</f>
        <v>54</v>
      </c>
      <c r="N84" s="58">
        <f t="shared" si="47"/>
        <v>2051.4876479999998</v>
      </c>
      <c r="O84" s="61">
        <v>0.8</v>
      </c>
      <c r="P84" s="61">
        <f t="shared" si="48"/>
        <v>1688.4672</v>
      </c>
      <c r="Q84" s="62">
        <f t="shared" si="49"/>
        <v>3739.9548479999999</v>
      </c>
      <c r="R84" s="155"/>
      <c r="S84" s="131">
        <f>((((N84*(1+$D$7))+(P84*(1+$D$5+$D$6)))*(1+$D$8)))/I84</f>
        <v>2.2149086399999995</v>
      </c>
      <c r="T84" s="130">
        <f t="shared" si="50"/>
        <v>4674.7507370457588</v>
      </c>
    </row>
    <row r="85" spans="1:20" s="7" customFormat="1" x14ac:dyDescent="0.25">
      <c r="A85" s="152"/>
      <c r="B85" s="50"/>
      <c r="C85" s="63"/>
      <c r="D85" s="100"/>
      <c r="E85" s="178"/>
      <c r="F85" s="103"/>
      <c r="G85" s="51"/>
      <c r="H85" s="52"/>
      <c r="I85" s="53"/>
      <c r="J85" s="99"/>
      <c r="K85" s="153"/>
      <c r="L85" s="60"/>
      <c r="M85" s="58"/>
      <c r="N85" s="58"/>
      <c r="O85" s="61"/>
      <c r="P85" s="61"/>
      <c r="Q85" s="62"/>
      <c r="R85" s="155"/>
      <c r="S85" s="131"/>
      <c r="T85" s="130"/>
    </row>
    <row r="86" spans="1:20" s="7" customFormat="1" x14ac:dyDescent="0.25">
      <c r="A86" s="152" t="str">
        <f>IF(J86&lt;&gt;"",1+MAX($A$18:A82),"")</f>
        <v/>
      </c>
      <c r="B86" s="50"/>
      <c r="C86" s="63"/>
      <c r="D86" s="100"/>
      <c r="E86" s="178"/>
      <c r="F86" s="172" t="s">
        <v>223</v>
      </c>
      <c r="G86" s="51"/>
      <c r="H86" s="52"/>
      <c r="I86" s="53"/>
      <c r="J86" s="99"/>
      <c r="K86" s="153"/>
      <c r="L86" s="60"/>
      <c r="M86" s="58"/>
      <c r="N86" s="58"/>
      <c r="O86" s="61"/>
      <c r="P86" s="61"/>
      <c r="Q86" s="62"/>
      <c r="R86" s="155"/>
      <c r="S86" s="131"/>
      <c r="T86" s="130"/>
    </row>
    <row r="87" spans="1:20" s="7" customFormat="1" ht="31.2" x14ac:dyDescent="0.25">
      <c r="A87" s="152">
        <f>IF(J87&lt;&gt;"",1+MAX($A$18:A86),"")</f>
        <v>45</v>
      </c>
      <c r="B87" s="50"/>
      <c r="C87" s="50"/>
      <c r="D87" s="100" t="s">
        <v>35</v>
      </c>
      <c r="E87" s="178" t="s">
        <v>104</v>
      </c>
      <c r="F87" s="175" t="s">
        <v>769</v>
      </c>
      <c r="G87" s="51">
        <v>28578</v>
      </c>
      <c r="H87" s="52">
        <f>IF(VLOOKUP(J87,'HOURLY RATES'!B$116:C$124,2,0)=0,$J$3,VLOOKUP(J87,'HOURLY RATES'!B$116:C$124,2,0))</f>
        <v>0.05</v>
      </c>
      <c r="I87" s="53">
        <f t="shared" ref="I87:I95" si="51">(G87*(1+H87))</f>
        <v>30006.9</v>
      </c>
      <c r="J87" s="99" t="s">
        <v>224</v>
      </c>
      <c r="K87" s="153">
        <v>0.02</v>
      </c>
      <c r="L87" s="60">
        <f t="shared" ref="L87:L95" si="52">K87*I87</f>
        <v>600.13800000000003</v>
      </c>
      <c r="M87" s="58">
        <f>IF(VLOOKUP(E87,'HOURLY RATES'!C$6:D$105,2,0)=0,$E$3,VLOOKUP(E87,'HOURLY RATES'!C$6:D$105,2,0))</f>
        <v>54</v>
      </c>
      <c r="N87" s="58">
        <f t="shared" ref="N87:N95" si="53">M87*L87</f>
        <v>32407.452000000001</v>
      </c>
      <c r="O87" s="61">
        <v>0.4</v>
      </c>
      <c r="P87" s="61">
        <f t="shared" ref="P87:P95" si="54">O87*I87</f>
        <v>12002.760000000002</v>
      </c>
      <c r="Q87" s="62">
        <f t="shared" ref="Q87:Q95" si="55">P87+N87</f>
        <v>44410.212</v>
      </c>
      <c r="R87" s="155"/>
      <c r="S87" s="131">
        <f t="shared" ref="S87:S95" si="56">((((N87*(1+$D$7))+(P87*(1+$D$5+$D$6)))*(1+$D$8)))/I87</f>
        <v>1.8309463199999998</v>
      </c>
      <c r="T87" s="130">
        <f t="shared" ref="T87:T95" si="57">S87*I87</f>
        <v>54941.023129607995</v>
      </c>
    </row>
    <row r="88" spans="1:20" s="7" customFormat="1" ht="31.2" x14ac:dyDescent="0.25">
      <c r="A88" s="152">
        <f>IF(J88&lt;&gt;"",1+MAX($A$18:A87),"")</f>
        <v>46</v>
      </c>
      <c r="B88" s="50"/>
      <c r="C88" s="50"/>
      <c r="D88" s="100" t="s">
        <v>35</v>
      </c>
      <c r="E88" s="178" t="s">
        <v>104</v>
      </c>
      <c r="F88" s="175" t="s">
        <v>782</v>
      </c>
      <c r="G88" s="51">
        <f>88+89</f>
        <v>177</v>
      </c>
      <c r="H88" s="52">
        <f>IF(VLOOKUP(J88,'HOURLY RATES'!B$116:C$124,2,0)=0,$J$3,VLOOKUP(J88,'HOURLY RATES'!B$116:C$124,2,0))</f>
        <v>0.05</v>
      </c>
      <c r="I88" s="53">
        <f t="shared" si="51"/>
        <v>185.85</v>
      </c>
      <c r="J88" s="99" t="s">
        <v>224</v>
      </c>
      <c r="K88" s="153">
        <v>0.02</v>
      </c>
      <c r="L88" s="60">
        <f t="shared" si="52"/>
        <v>3.7170000000000001</v>
      </c>
      <c r="M88" s="58">
        <f>IF(VLOOKUP(E88,'HOURLY RATES'!C$6:D$105,2,0)=0,$E$3,VLOOKUP(E88,'HOURLY RATES'!C$6:D$105,2,0))</f>
        <v>54</v>
      </c>
      <c r="N88" s="58">
        <f t="shared" si="53"/>
        <v>200.71800000000002</v>
      </c>
      <c r="O88" s="61">
        <v>0.4</v>
      </c>
      <c r="P88" s="61">
        <f t="shared" si="54"/>
        <v>74.34</v>
      </c>
      <c r="Q88" s="62">
        <f t="shared" si="55"/>
        <v>275.05799999999999</v>
      </c>
      <c r="R88" s="155"/>
      <c r="S88" s="131">
        <f t="shared" si="56"/>
        <v>1.83094632</v>
      </c>
      <c r="T88" s="130">
        <f t="shared" si="57"/>
        <v>340.28137357200001</v>
      </c>
    </row>
    <row r="89" spans="1:20" s="7" customFormat="1" ht="31.2" x14ac:dyDescent="0.25">
      <c r="A89" s="152">
        <f>IF(J89&lt;&gt;"",1+MAX($A$18:A88),"")</f>
        <v>47</v>
      </c>
      <c r="B89" s="50"/>
      <c r="C89" s="50"/>
      <c r="D89" s="100" t="s">
        <v>35</v>
      </c>
      <c r="E89" s="178" t="s">
        <v>104</v>
      </c>
      <c r="F89" s="175" t="s">
        <v>783</v>
      </c>
      <c r="G89" s="51">
        <v>163</v>
      </c>
      <c r="H89" s="52">
        <f>IF(VLOOKUP(J89,'HOURLY RATES'!B$116:C$124,2,0)=0,$J$3,VLOOKUP(J89,'HOURLY RATES'!B$116:C$124,2,0))</f>
        <v>0.05</v>
      </c>
      <c r="I89" s="53">
        <f t="shared" si="51"/>
        <v>171.15</v>
      </c>
      <c r="J89" s="99" t="s">
        <v>224</v>
      </c>
      <c r="K89" s="153">
        <v>0.02</v>
      </c>
      <c r="L89" s="60">
        <f t="shared" si="52"/>
        <v>3.423</v>
      </c>
      <c r="M89" s="58">
        <f>IF(VLOOKUP(E89,'HOURLY RATES'!C$6:D$105,2,0)=0,$E$3,VLOOKUP(E89,'HOURLY RATES'!C$6:D$105,2,0))</f>
        <v>54</v>
      </c>
      <c r="N89" s="58">
        <f t="shared" si="53"/>
        <v>184.84200000000001</v>
      </c>
      <c r="O89" s="61">
        <v>0.4</v>
      </c>
      <c r="P89" s="61">
        <f t="shared" si="54"/>
        <v>68.460000000000008</v>
      </c>
      <c r="Q89" s="62">
        <f t="shared" si="55"/>
        <v>253.30200000000002</v>
      </c>
      <c r="R89" s="155"/>
      <c r="S89" s="131">
        <f t="shared" si="56"/>
        <v>1.8309463199999996</v>
      </c>
      <c r="T89" s="130">
        <f t="shared" si="57"/>
        <v>313.36646266799994</v>
      </c>
    </row>
    <row r="90" spans="1:20" s="7" customFormat="1" ht="31.2" x14ac:dyDescent="0.25">
      <c r="A90" s="152">
        <f>IF(J90&lt;&gt;"",1+MAX($A$18:A89),"")</f>
        <v>48</v>
      </c>
      <c r="B90" s="50"/>
      <c r="C90" s="50"/>
      <c r="D90" s="100" t="s">
        <v>35</v>
      </c>
      <c r="E90" s="178" t="s">
        <v>104</v>
      </c>
      <c r="F90" s="175" t="s">
        <v>784</v>
      </c>
      <c r="G90" s="51">
        <v>391</v>
      </c>
      <c r="H90" s="52">
        <f>IF(VLOOKUP(J90,'HOURLY RATES'!B$116:C$124,2,0)=0,$J$3,VLOOKUP(J90,'HOURLY RATES'!B$116:C$124,2,0))</f>
        <v>0.05</v>
      </c>
      <c r="I90" s="53">
        <f t="shared" si="51"/>
        <v>410.55</v>
      </c>
      <c r="J90" s="99" t="s">
        <v>224</v>
      </c>
      <c r="K90" s="153">
        <v>0.02</v>
      </c>
      <c r="L90" s="60">
        <f t="shared" si="52"/>
        <v>8.2110000000000003</v>
      </c>
      <c r="M90" s="58">
        <f>IF(VLOOKUP(E90,'HOURLY RATES'!C$6:D$105,2,0)=0,$E$3,VLOOKUP(E90,'HOURLY RATES'!C$6:D$105,2,0))</f>
        <v>54</v>
      </c>
      <c r="N90" s="58">
        <f t="shared" si="53"/>
        <v>443.39400000000001</v>
      </c>
      <c r="O90" s="61">
        <v>0.4</v>
      </c>
      <c r="P90" s="61">
        <f t="shared" si="54"/>
        <v>164.22000000000003</v>
      </c>
      <c r="Q90" s="62">
        <f t="shared" si="55"/>
        <v>607.61400000000003</v>
      </c>
      <c r="R90" s="155"/>
      <c r="S90" s="131">
        <f t="shared" si="56"/>
        <v>1.8309463199999998</v>
      </c>
      <c r="T90" s="130">
        <f t="shared" si="57"/>
        <v>751.69501167599992</v>
      </c>
    </row>
    <row r="91" spans="1:20" s="7" customFormat="1" ht="31.2" x14ac:dyDescent="0.25">
      <c r="A91" s="152">
        <f>IF(J91&lt;&gt;"",1+MAX($A$18:A90),"")</f>
        <v>49</v>
      </c>
      <c r="B91" s="50"/>
      <c r="C91" s="50"/>
      <c r="D91" s="100" t="s">
        <v>35</v>
      </c>
      <c r="E91" s="178" t="s">
        <v>104</v>
      </c>
      <c r="F91" s="175" t="s">
        <v>785</v>
      </c>
      <c r="G91" s="51">
        <v>59</v>
      </c>
      <c r="H91" s="52">
        <f>IF(VLOOKUP(J91,'HOURLY RATES'!B$116:C$124,2,0)=0,$J$3,VLOOKUP(J91,'HOURLY RATES'!B$116:C$124,2,0))</f>
        <v>0.05</v>
      </c>
      <c r="I91" s="53">
        <f t="shared" si="51"/>
        <v>61.95</v>
      </c>
      <c r="J91" s="99" t="s">
        <v>224</v>
      </c>
      <c r="K91" s="153">
        <v>0.02</v>
      </c>
      <c r="L91" s="60">
        <f t="shared" si="52"/>
        <v>1.2390000000000001</v>
      </c>
      <c r="M91" s="58">
        <f>IF(VLOOKUP(E91,'HOURLY RATES'!C$6:D$105,2,0)=0,$E$3,VLOOKUP(E91,'HOURLY RATES'!C$6:D$105,2,0))</f>
        <v>54</v>
      </c>
      <c r="N91" s="58">
        <f t="shared" si="53"/>
        <v>66.906000000000006</v>
      </c>
      <c r="O91" s="61">
        <v>0.8</v>
      </c>
      <c r="P91" s="61">
        <f t="shared" si="54"/>
        <v>49.56</v>
      </c>
      <c r="Q91" s="62">
        <f t="shared" si="55"/>
        <v>116.46600000000001</v>
      </c>
      <c r="R91" s="155"/>
      <c r="S91" s="131">
        <f t="shared" si="56"/>
        <v>2.3464526399999994</v>
      </c>
      <c r="T91" s="130">
        <f t="shared" si="57"/>
        <v>145.36274104799998</v>
      </c>
    </row>
    <row r="92" spans="1:20" s="7" customFormat="1" ht="31.2" x14ac:dyDescent="0.25">
      <c r="A92" s="152">
        <f>IF(J92&lt;&gt;"",1+MAX($A$18:A91),"")</f>
        <v>50</v>
      </c>
      <c r="B92" s="50"/>
      <c r="C92" s="50"/>
      <c r="D92" s="100" t="s">
        <v>35</v>
      </c>
      <c r="E92" s="178" t="s">
        <v>104</v>
      </c>
      <c r="F92" s="175" t="s">
        <v>786</v>
      </c>
      <c r="G92" s="51">
        <v>439</v>
      </c>
      <c r="H92" s="52">
        <f>IF(VLOOKUP(J92,'HOURLY RATES'!B$116:C$124,2,0)=0,$J$3,VLOOKUP(J92,'HOURLY RATES'!B$116:C$124,2,0))</f>
        <v>0.05</v>
      </c>
      <c r="I92" s="53">
        <f t="shared" si="51"/>
        <v>460.95000000000005</v>
      </c>
      <c r="J92" s="99" t="s">
        <v>224</v>
      </c>
      <c r="K92" s="153">
        <v>0.02</v>
      </c>
      <c r="L92" s="60">
        <f t="shared" si="52"/>
        <v>9.2190000000000012</v>
      </c>
      <c r="M92" s="58">
        <f>IF(VLOOKUP(E92,'HOURLY RATES'!C$6:D$105,2,0)=0,$E$3,VLOOKUP(E92,'HOURLY RATES'!C$6:D$105,2,0))</f>
        <v>54</v>
      </c>
      <c r="N92" s="58">
        <f t="shared" si="53"/>
        <v>497.82600000000008</v>
      </c>
      <c r="O92" s="61">
        <v>0.8</v>
      </c>
      <c r="P92" s="61">
        <f t="shared" si="54"/>
        <v>368.76000000000005</v>
      </c>
      <c r="Q92" s="62">
        <f t="shared" si="55"/>
        <v>866.58600000000013</v>
      </c>
      <c r="R92" s="155"/>
      <c r="S92" s="131">
        <f t="shared" si="56"/>
        <v>2.3464526399999999</v>
      </c>
      <c r="T92" s="130">
        <f t="shared" si="57"/>
        <v>1081.597344408</v>
      </c>
    </row>
    <row r="93" spans="1:20" s="7" customFormat="1" ht="31.2" x14ac:dyDescent="0.25">
      <c r="A93" s="152">
        <f>IF(J93&lt;&gt;"",1+MAX($A$18:A87),"")</f>
        <v>46</v>
      </c>
      <c r="B93" s="50"/>
      <c r="C93" s="50"/>
      <c r="D93" s="100" t="s">
        <v>35</v>
      </c>
      <c r="E93" s="178" t="s">
        <v>104</v>
      </c>
      <c r="F93" s="175" t="s">
        <v>768</v>
      </c>
      <c r="G93" s="51">
        <v>5236</v>
      </c>
      <c r="H93" s="52">
        <f>IF(VLOOKUP(J93,'HOURLY RATES'!B$116:C$124,2,0)=0,$J$3,VLOOKUP(J93,'HOURLY RATES'!B$116:C$124,2,0))</f>
        <v>0.05</v>
      </c>
      <c r="I93" s="53">
        <f t="shared" si="51"/>
        <v>5497.8</v>
      </c>
      <c r="J93" s="99" t="s">
        <v>224</v>
      </c>
      <c r="K93" s="153">
        <v>0.02</v>
      </c>
      <c r="L93" s="60">
        <f t="shared" si="52"/>
        <v>109.956</v>
      </c>
      <c r="M93" s="58">
        <f>IF(VLOOKUP(E93,'HOURLY RATES'!C$6:D$105,2,0)=0,$E$3,VLOOKUP(E93,'HOURLY RATES'!C$6:D$105,2,0))</f>
        <v>54</v>
      </c>
      <c r="N93" s="58">
        <f t="shared" si="53"/>
        <v>5937.6239999999998</v>
      </c>
      <c r="O93" s="61">
        <v>0.4</v>
      </c>
      <c r="P93" s="61">
        <f t="shared" si="54"/>
        <v>2199.1200000000003</v>
      </c>
      <c r="Q93" s="62">
        <f t="shared" si="55"/>
        <v>8136.7440000000006</v>
      </c>
      <c r="R93" s="155"/>
      <c r="S93" s="131">
        <f t="shared" si="56"/>
        <v>1.8309463199999998</v>
      </c>
      <c r="T93" s="130">
        <f t="shared" si="57"/>
        <v>10066.176678095999</v>
      </c>
    </row>
    <row r="94" spans="1:20" s="7" customFormat="1" ht="31.2" x14ac:dyDescent="0.25">
      <c r="A94" s="152">
        <f>IF(J94&lt;&gt;"",1+MAX($A$18:A92),"")</f>
        <v>51</v>
      </c>
      <c r="B94" s="50"/>
      <c r="C94" s="50"/>
      <c r="D94" s="100" t="s">
        <v>35</v>
      </c>
      <c r="E94" s="178" t="s">
        <v>104</v>
      </c>
      <c r="F94" s="175" t="s">
        <v>787</v>
      </c>
      <c r="G94" s="51">
        <v>231</v>
      </c>
      <c r="H94" s="52">
        <f>IF(VLOOKUP(J94,'HOURLY RATES'!B$116:C$124,2,0)=0,$J$3,VLOOKUP(J94,'HOURLY RATES'!B$116:C$124,2,0))</f>
        <v>0.05</v>
      </c>
      <c r="I94" s="53">
        <f t="shared" si="51"/>
        <v>242.55</v>
      </c>
      <c r="J94" s="99" t="s">
        <v>224</v>
      </c>
      <c r="K94" s="153">
        <v>0.02</v>
      </c>
      <c r="L94" s="60">
        <f t="shared" si="52"/>
        <v>4.851</v>
      </c>
      <c r="M94" s="58">
        <f>IF(VLOOKUP(E94,'HOURLY RATES'!C$6:D$105,2,0)=0,$E$3,VLOOKUP(E94,'HOURLY RATES'!C$6:D$105,2,0))</f>
        <v>54</v>
      </c>
      <c r="N94" s="58">
        <f t="shared" si="53"/>
        <v>261.95400000000001</v>
      </c>
      <c r="O94" s="61">
        <v>0.4</v>
      </c>
      <c r="P94" s="61">
        <f t="shared" si="54"/>
        <v>97.02000000000001</v>
      </c>
      <c r="Q94" s="62">
        <f t="shared" si="55"/>
        <v>358.97400000000005</v>
      </c>
      <c r="R94" s="155"/>
      <c r="S94" s="131">
        <f t="shared" si="56"/>
        <v>1.8309463199999998</v>
      </c>
      <c r="T94" s="130">
        <f t="shared" si="57"/>
        <v>444.09602991599996</v>
      </c>
    </row>
    <row r="95" spans="1:20" s="7" customFormat="1" ht="31.2" x14ac:dyDescent="0.25">
      <c r="A95" s="152">
        <f>IF(J95&lt;&gt;"",1+MAX($A$18:A94),"")</f>
        <v>52</v>
      </c>
      <c r="B95" s="50"/>
      <c r="C95" s="50"/>
      <c r="D95" s="100" t="s">
        <v>35</v>
      </c>
      <c r="E95" s="178" t="s">
        <v>104</v>
      </c>
      <c r="F95" s="175" t="s">
        <v>788</v>
      </c>
      <c r="G95" s="51">
        <v>25</v>
      </c>
      <c r="H95" s="52">
        <f>IF(VLOOKUP(J95,'HOURLY RATES'!B$116:C$124,2,0)=0,$J$3,VLOOKUP(J95,'HOURLY RATES'!B$116:C$124,2,0))</f>
        <v>0.05</v>
      </c>
      <c r="I95" s="53">
        <f t="shared" si="51"/>
        <v>26.25</v>
      </c>
      <c r="J95" s="99" t="s">
        <v>224</v>
      </c>
      <c r="K95" s="153">
        <v>0.02</v>
      </c>
      <c r="L95" s="60">
        <f t="shared" si="52"/>
        <v>0.52500000000000002</v>
      </c>
      <c r="M95" s="58">
        <f>IF(VLOOKUP(E95,'HOURLY RATES'!C$6:D$105,2,0)=0,$E$3,VLOOKUP(E95,'HOURLY RATES'!C$6:D$105,2,0))</f>
        <v>54</v>
      </c>
      <c r="N95" s="58">
        <f t="shared" si="53"/>
        <v>28.35</v>
      </c>
      <c r="O95" s="61">
        <v>0.4</v>
      </c>
      <c r="P95" s="61">
        <f t="shared" si="54"/>
        <v>10.5</v>
      </c>
      <c r="Q95" s="62">
        <f t="shared" si="55"/>
        <v>38.85</v>
      </c>
      <c r="R95" s="155"/>
      <c r="S95" s="131">
        <f t="shared" si="56"/>
        <v>1.8309463199999998</v>
      </c>
      <c r="T95" s="130">
        <f t="shared" si="57"/>
        <v>48.062340899999995</v>
      </c>
    </row>
    <row r="96" spans="1:20" s="7" customFormat="1" x14ac:dyDescent="0.25">
      <c r="A96" s="152"/>
      <c r="B96" s="50"/>
      <c r="C96" s="63"/>
      <c r="D96" s="100"/>
      <c r="E96" s="178"/>
      <c r="F96" s="103"/>
      <c r="G96" s="51"/>
      <c r="H96" s="52"/>
      <c r="I96" s="53"/>
      <c r="J96" s="99"/>
      <c r="K96" s="153"/>
      <c r="L96" s="60"/>
      <c r="M96" s="58"/>
      <c r="N96" s="58"/>
      <c r="O96" s="61"/>
      <c r="P96" s="61"/>
      <c r="Q96" s="62"/>
      <c r="R96" s="155"/>
      <c r="S96" s="131"/>
      <c r="T96" s="130"/>
    </row>
    <row r="97" spans="1:20" s="7" customFormat="1" x14ac:dyDescent="0.25">
      <c r="A97" s="152" t="str">
        <f>IF(J97&lt;&gt;"",1+MAX($A$18:A94),"")</f>
        <v/>
      </c>
      <c r="B97" s="50"/>
      <c r="C97" s="63"/>
      <c r="D97" s="100"/>
      <c r="E97" s="178"/>
      <c r="F97" s="172" t="s">
        <v>723</v>
      </c>
      <c r="G97" s="51"/>
      <c r="H97" s="52"/>
      <c r="I97" s="53"/>
      <c r="J97" s="99"/>
      <c r="K97" s="153"/>
      <c r="L97" s="60"/>
      <c r="M97" s="58"/>
      <c r="N97" s="58"/>
      <c r="O97" s="61"/>
      <c r="P97" s="61"/>
      <c r="Q97" s="62"/>
      <c r="R97" s="155"/>
      <c r="S97" s="131"/>
      <c r="T97" s="130"/>
    </row>
    <row r="98" spans="1:20" s="7" customFormat="1" ht="31.2" x14ac:dyDescent="0.25">
      <c r="A98" s="152">
        <f>IF(J98&lt;&gt;"",1+MAX($A$18:A97),"")</f>
        <v>53</v>
      </c>
      <c r="B98" s="50"/>
      <c r="C98" s="50"/>
      <c r="D98" s="100" t="s">
        <v>35</v>
      </c>
      <c r="E98" s="178" t="s">
        <v>104</v>
      </c>
      <c r="F98" s="175" t="s">
        <v>804</v>
      </c>
      <c r="G98" s="51">
        <v>25</v>
      </c>
      <c r="H98" s="52">
        <f>IF(VLOOKUP(J98,'HOURLY RATES'!B$116:C$124,2,0)=0,$J$3,VLOOKUP(J98,'HOURLY RATES'!B$116:C$124,2,0))</f>
        <v>0</v>
      </c>
      <c r="I98" s="53">
        <f t="shared" ref="I98:I100" si="58">(G98*(1+H98))</f>
        <v>25</v>
      </c>
      <c r="J98" s="99" t="s">
        <v>225</v>
      </c>
      <c r="K98" s="153">
        <v>1.23</v>
      </c>
      <c r="L98" s="60">
        <f t="shared" ref="L98:L100" si="59">K98*I98</f>
        <v>30.75</v>
      </c>
      <c r="M98" s="58">
        <f>IF(VLOOKUP(E98,'HOURLY RATES'!C$6:D$105,2,0)=0,$E$3,VLOOKUP(E98,'HOURLY RATES'!C$6:D$105,2,0))</f>
        <v>54</v>
      </c>
      <c r="N98" s="58">
        <f t="shared" ref="N98:N100" si="60">M98*L98</f>
        <v>1660.5</v>
      </c>
      <c r="O98" s="61">
        <v>28</v>
      </c>
      <c r="P98" s="61">
        <f t="shared" ref="P98:P100" si="61">O98*I98</f>
        <v>700</v>
      </c>
      <c r="Q98" s="62">
        <f t="shared" ref="Q98:Q100" si="62">P98+N98</f>
        <v>2360.5</v>
      </c>
      <c r="R98" s="155"/>
      <c r="S98" s="131">
        <f>((((N98*(1+$D$7))+(P98*(1+$D$5+$D$6)))*(1+$D$8)))/I98</f>
        <v>116.9850024</v>
      </c>
      <c r="T98" s="130">
        <f t="shared" ref="T98:T100" si="63">S98*I98</f>
        <v>2924.6250599999998</v>
      </c>
    </row>
    <row r="99" spans="1:20" s="7" customFormat="1" ht="31.2" x14ac:dyDescent="0.25">
      <c r="A99" s="152">
        <f>IF(J99&lt;&gt;"",1+MAX($A$18:A98),"")</f>
        <v>54</v>
      </c>
      <c r="B99" s="50"/>
      <c r="C99" s="50"/>
      <c r="D99" s="100" t="s">
        <v>35</v>
      </c>
      <c r="E99" s="178" t="s">
        <v>104</v>
      </c>
      <c r="F99" s="175" t="s">
        <v>805</v>
      </c>
      <c r="G99" s="51">
        <f>G100/2</f>
        <v>453</v>
      </c>
      <c r="H99" s="52">
        <f>IF(VLOOKUP(J99,'HOURLY RATES'!B$116:C$124,2,0)=0,$J$3,VLOOKUP(J99,'HOURLY RATES'!B$116:C$124,2,0))</f>
        <v>0.05</v>
      </c>
      <c r="I99" s="53">
        <f t="shared" si="58"/>
        <v>475.65000000000003</v>
      </c>
      <c r="J99" s="99" t="s">
        <v>226</v>
      </c>
      <c r="K99" s="153">
        <v>1.7999999999999999E-2</v>
      </c>
      <c r="L99" s="60">
        <f t="shared" si="59"/>
        <v>8.5617000000000001</v>
      </c>
      <c r="M99" s="58">
        <f>IF(VLOOKUP(E99,'HOURLY RATES'!C$6:D$105,2,0)=0,$E$3,VLOOKUP(E99,'HOURLY RATES'!C$6:D$105,2,0))</f>
        <v>54</v>
      </c>
      <c r="N99" s="58">
        <f t="shared" si="60"/>
        <v>462.33179999999999</v>
      </c>
      <c r="O99" s="61">
        <v>0.8</v>
      </c>
      <c r="P99" s="61">
        <f t="shared" si="61"/>
        <v>380.52000000000004</v>
      </c>
      <c r="Q99" s="62">
        <f t="shared" si="62"/>
        <v>842.85180000000003</v>
      </c>
      <c r="R99" s="155"/>
      <c r="S99" s="131">
        <f>((((N99*(1+$D$7))+(P99*(1+$D$5+$D$6)))*(1+$D$8)))/I99</f>
        <v>2.21490864</v>
      </c>
      <c r="T99" s="130">
        <f t="shared" si="63"/>
        <v>1053.521294616</v>
      </c>
    </row>
    <row r="100" spans="1:20" s="7" customFormat="1" ht="31.2" x14ac:dyDescent="0.25">
      <c r="A100" s="152">
        <f>IF(J100&lt;&gt;"",1+MAX($A$18:A99),"")</f>
        <v>55</v>
      </c>
      <c r="B100" s="50"/>
      <c r="C100" s="50"/>
      <c r="D100" s="100" t="s">
        <v>35</v>
      </c>
      <c r="E100" s="178" t="s">
        <v>104</v>
      </c>
      <c r="F100" s="175" t="s">
        <v>806</v>
      </c>
      <c r="G100" s="51">
        <f>830+76</f>
        <v>906</v>
      </c>
      <c r="H100" s="52">
        <f>IF(VLOOKUP(J100,'HOURLY RATES'!B$116:C$124,2,0)=0,$J$3,VLOOKUP(J100,'HOURLY RATES'!B$116:C$124,2,0))</f>
        <v>0.05</v>
      </c>
      <c r="I100" s="53">
        <f t="shared" si="58"/>
        <v>951.30000000000007</v>
      </c>
      <c r="J100" s="99" t="s">
        <v>226</v>
      </c>
      <c r="K100" s="153">
        <v>1.7999999999999999E-2</v>
      </c>
      <c r="L100" s="60">
        <f t="shared" si="59"/>
        <v>17.1234</v>
      </c>
      <c r="M100" s="58">
        <f>IF(VLOOKUP(E100,'HOURLY RATES'!C$6:D$105,2,0)=0,$E$3,VLOOKUP(E100,'HOURLY RATES'!C$6:D$105,2,0))</f>
        <v>54</v>
      </c>
      <c r="N100" s="58">
        <f t="shared" si="60"/>
        <v>924.66359999999997</v>
      </c>
      <c r="O100" s="61">
        <v>0.8</v>
      </c>
      <c r="P100" s="61">
        <f t="shared" si="61"/>
        <v>761.04000000000008</v>
      </c>
      <c r="Q100" s="62">
        <f t="shared" si="62"/>
        <v>1685.7036000000001</v>
      </c>
      <c r="R100" s="155"/>
      <c r="S100" s="131">
        <f>((((N100*(1+$D$7))+(P100*(1+$D$5+$D$6)))*(1+$D$8)))/I100</f>
        <v>2.21490864</v>
      </c>
      <c r="T100" s="130">
        <f t="shared" si="63"/>
        <v>2107.042589232</v>
      </c>
    </row>
    <row r="101" spans="1:20" s="7" customFormat="1" x14ac:dyDescent="0.25">
      <c r="A101" s="152"/>
      <c r="B101" s="50"/>
      <c r="C101" s="63"/>
      <c r="D101" s="100"/>
      <c r="E101" s="178"/>
      <c r="F101" s="103"/>
      <c r="G101" s="51"/>
      <c r="H101" s="52"/>
      <c r="I101" s="53"/>
      <c r="J101" s="99"/>
      <c r="K101" s="153"/>
      <c r="L101" s="60"/>
      <c r="M101" s="58"/>
      <c r="N101" s="58"/>
      <c r="O101" s="61"/>
      <c r="P101" s="61"/>
      <c r="Q101" s="62"/>
      <c r="R101" s="155"/>
      <c r="S101" s="131"/>
      <c r="T101" s="130"/>
    </row>
    <row r="102" spans="1:20" s="7" customFormat="1" x14ac:dyDescent="0.25">
      <c r="A102" s="152" t="str">
        <f>IF(J102&lt;&gt;"",1+MAX($A$18:A93),"")</f>
        <v/>
      </c>
      <c r="B102" s="50"/>
      <c r="C102" s="63"/>
      <c r="D102" s="100"/>
      <c r="E102" s="178"/>
      <c r="F102" s="172" t="s">
        <v>227</v>
      </c>
      <c r="G102" s="51"/>
      <c r="H102" s="52"/>
      <c r="I102" s="53"/>
      <c r="J102" s="99"/>
      <c r="K102" s="153"/>
      <c r="L102" s="60"/>
      <c r="M102" s="58"/>
      <c r="N102" s="58"/>
      <c r="O102" s="61"/>
      <c r="P102" s="61"/>
      <c r="Q102" s="62"/>
      <c r="R102" s="155"/>
      <c r="S102" s="131"/>
      <c r="T102" s="130"/>
    </row>
    <row r="103" spans="1:20" s="7" customFormat="1" x14ac:dyDescent="0.25">
      <c r="A103" s="152">
        <f>IF(J103&lt;&gt;"",1+MAX($A$18:A102),"")</f>
        <v>56</v>
      </c>
      <c r="B103" s="50"/>
      <c r="C103" s="50"/>
      <c r="D103" s="100" t="s">
        <v>35</v>
      </c>
      <c r="E103" s="178" t="s">
        <v>104</v>
      </c>
      <c r="F103" s="175" t="s">
        <v>748</v>
      </c>
      <c r="G103" s="51">
        <v>121.36</v>
      </c>
      <c r="H103" s="52">
        <f>IF(VLOOKUP(J103,'HOURLY RATES'!B$116:C$124,2,0)=0,$J$3,VLOOKUP(J103,'HOURLY RATES'!B$116:C$124,2,0))</f>
        <v>0.05</v>
      </c>
      <c r="I103" s="53">
        <f t="shared" ref="I103:I104" si="64">(G103*(1+H103))</f>
        <v>127.42800000000001</v>
      </c>
      <c r="J103" s="99" t="s">
        <v>226</v>
      </c>
      <c r="K103" s="153">
        <v>4.3999999999999997E-2</v>
      </c>
      <c r="L103" s="60">
        <f t="shared" ref="L103:L104" si="65">K103*I103</f>
        <v>5.6068319999999998</v>
      </c>
      <c r="M103" s="58">
        <f>IF(VLOOKUP(E103,'HOURLY RATES'!C$6:D$105,2,0)=0,$E$3,VLOOKUP(E103,'HOURLY RATES'!C$6:D$105,2,0))</f>
        <v>54</v>
      </c>
      <c r="N103" s="58">
        <f t="shared" ref="N103:N104" si="66">M103*L103</f>
        <v>302.76892800000002</v>
      </c>
      <c r="O103" s="61">
        <v>1.5</v>
      </c>
      <c r="P103" s="61">
        <f t="shared" ref="P103:P104" si="67">O103*I103</f>
        <v>191.14200000000002</v>
      </c>
      <c r="Q103" s="62">
        <f t="shared" ref="Q103:Q104" si="68">P103+N103</f>
        <v>493.91092800000001</v>
      </c>
      <c r="R103" s="155"/>
      <c r="S103" s="131">
        <f>((((N103*(1+$D$7))+(P103*(1+$D$5+$D$6)))*(1+$D$8)))/I103</f>
        <v>4.8271166999999995</v>
      </c>
      <c r="T103" s="130">
        <f t="shared" ref="T103:T104" si="69">S103*I103</f>
        <v>615.10982684759995</v>
      </c>
    </row>
    <row r="104" spans="1:20" s="7" customFormat="1" x14ac:dyDescent="0.25">
      <c r="A104" s="152">
        <f>IF(J104&lt;&gt;"",1+MAX($A$18:A102),"")</f>
        <v>56</v>
      </c>
      <c r="B104" s="50"/>
      <c r="C104" s="50"/>
      <c r="D104" s="100" t="s">
        <v>35</v>
      </c>
      <c r="E104" s="178" t="s">
        <v>104</v>
      </c>
      <c r="F104" s="175" t="s">
        <v>721</v>
      </c>
      <c r="G104" s="51">
        <v>126.94</v>
      </c>
      <c r="H104" s="52">
        <f>IF(VLOOKUP(J104,'HOURLY RATES'!B$116:C$124,2,0)=0,$J$3,VLOOKUP(J104,'HOURLY RATES'!B$116:C$124,2,0))</f>
        <v>0.05</v>
      </c>
      <c r="I104" s="53">
        <f t="shared" si="64"/>
        <v>133.28700000000001</v>
      </c>
      <c r="J104" s="99" t="s">
        <v>226</v>
      </c>
      <c r="K104" s="153">
        <v>0.215</v>
      </c>
      <c r="L104" s="60">
        <f t="shared" si="65"/>
        <v>28.656705000000002</v>
      </c>
      <c r="M104" s="58">
        <f>IF(VLOOKUP(E104,'HOURLY RATES'!C$6:D$105,2,0)=0,$E$3,VLOOKUP(E104,'HOURLY RATES'!C$6:D$105,2,0))</f>
        <v>54</v>
      </c>
      <c r="N104" s="58">
        <f t="shared" si="66"/>
        <v>1547.46207</v>
      </c>
      <c r="O104" s="61">
        <v>2.5</v>
      </c>
      <c r="P104" s="61">
        <f t="shared" si="67"/>
        <v>333.21750000000003</v>
      </c>
      <c r="Q104" s="62">
        <f t="shared" si="68"/>
        <v>1880.67957</v>
      </c>
      <c r="R104" s="155"/>
      <c r="S104" s="131">
        <f>((((N104*(1+$D$7))+(P104*(1+$D$5+$D$6)))*(1+$D$8)))/I104</f>
        <v>17.362894499999996</v>
      </c>
      <c r="T104" s="130">
        <f t="shared" si="69"/>
        <v>2314.2481192214996</v>
      </c>
    </row>
    <row r="105" spans="1:20" s="7" customFormat="1" x14ac:dyDescent="0.25">
      <c r="A105" s="152"/>
      <c r="B105" s="50"/>
      <c r="C105" s="63"/>
      <c r="D105" s="100"/>
      <c r="E105" s="178"/>
      <c r="F105" s="103"/>
      <c r="G105" s="51"/>
      <c r="H105" s="52"/>
      <c r="I105" s="53"/>
      <c r="J105" s="99"/>
      <c r="K105" s="153"/>
      <c r="L105" s="60"/>
      <c r="M105" s="58"/>
      <c r="N105" s="58"/>
      <c r="O105" s="61"/>
      <c r="P105" s="61"/>
      <c r="Q105" s="62"/>
      <c r="R105" s="155"/>
      <c r="S105" s="131"/>
      <c r="T105" s="130"/>
    </row>
    <row r="106" spans="1:20" s="7" customFormat="1" x14ac:dyDescent="0.25">
      <c r="A106" s="152" t="str">
        <f>IF(J106&lt;&gt;"",1+MAX($A$18:A105),"")</f>
        <v/>
      </c>
      <c r="B106" s="109"/>
      <c r="C106" s="110"/>
      <c r="D106" s="100"/>
      <c r="E106" s="179"/>
      <c r="F106" s="172" t="s">
        <v>725</v>
      </c>
      <c r="G106" s="112"/>
      <c r="H106" s="113"/>
      <c r="I106" s="114"/>
      <c r="J106" s="99"/>
      <c r="K106" s="153"/>
      <c r="L106" s="156"/>
      <c r="M106" s="157"/>
      <c r="N106" s="157"/>
      <c r="O106" s="158"/>
      <c r="P106" s="158"/>
      <c r="Q106" s="159"/>
      <c r="R106" s="155"/>
      <c r="S106" s="131"/>
      <c r="T106" s="130"/>
    </row>
    <row r="107" spans="1:20" s="7" customFormat="1" ht="46.8" x14ac:dyDescent="0.25">
      <c r="A107" s="152">
        <f>IF(J107&lt;&gt;"",1+MAX($A$18:A105),"")</f>
        <v>57</v>
      </c>
      <c r="B107" s="109"/>
      <c r="C107" s="109"/>
      <c r="D107" s="100" t="s">
        <v>35</v>
      </c>
      <c r="E107" s="179" t="s">
        <v>86</v>
      </c>
      <c r="F107" s="176" t="s">
        <v>815</v>
      </c>
      <c r="G107" s="112">
        <f>4208</f>
        <v>4208</v>
      </c>
      <c r="H107" s="113">
        <v>0.05</v>
      </c>
      <c r="I107" s="114">
        <f t="shared" ref="I107:I115" si="70">(G107*(1+H107))</f>
        <v>4418.4000000000005</v>
      </c>
      <c r="J107" s="99" t="s">
        <v>224</v>
      </c>
      <c r="K107" s="153">
        <v>0.02</v>
      </c>
      <c r="L107" s="156">
        <f t="shared" ref="L107:L115" si="71">K107*I107</f>
        <v>88.368000000000009</v>
      </c>
      <c r="M107" s="58">
        <f>IF(VLOOKUP(E107,'HOURLY RATES'!C$6:D$105,2,0)=0,$E$3,VLOOKUP(E107,'HOURLY RATES'!C$6:D$105,2,0))</f>
        <v>54</v>
      </c>
      <c r="N107" s="157">
        <f t="shared" ref="N107:N115" si="72">M107*L107</f>
        <v>4771.8720000000003</v>
      </c>
      <c r="O107" s="158">
        <v>0.8</v>
      </c>
      <c r="P107" s="158">
        <f t="shared" ref="P107:P115" si="73">O107*I107</f>
        <v>3534.7200000000007</v>
      </c>
      <c r="Q107" s="159">
        <f t="shared" ref="Q107:Q115" si="74">P107+N107</f>
        <v>8306.5920000000006</v>
      </c>
      <c r="R107" s="155"/>
      <c r="S107" s="131">
        <f t="shared" ref="S107:S113" si="75">((((N107*(1+$D$7))+(P107*(1+$D$5+$D$6)))*(1+$D$8)))/I107</f>
        <v>2.3464526399999999</v>
      </c>
      <c r="T107" s="130">
        <f t="shared" ref="T107:T115" si="76">S107*I107</f>
        <v>10367.566344576</v>
      </c>
    </row>
    <row r="108" spans="1:20" s="7" customFormat="1" ht="46.8" x14ac:dyDescent="0.25">
      <c r="A108" s="152">
        <f>IF(J108&lt;&gt;"",1+MAX($A$18:A106),"")</f>
        <v>57</v>
      </c>
      <c r="B108" s="109"/>
      <c r="C108" s="109"/>
      <c r="D108" s="100" t="s">
        <v>35</v>
      </c>
      <c r="E108" s="179" t="s">
        <v>86</v>
      </c>
      <c r="F108" s="176" t="s">
        <v>820</v>
      </c>
      <c r="G108" s="112">
        <v>1720</v>
      </c>
      <c r="H108" s="113">
        <v>0.05</v>
      </c>
      <c r="I108" s="114">
        <f t="shared" ref="I108" si="77">(G108*(1+H108))</f>
        <v>1806</v>
      </c>
      <c r="J108" s="99" t="s">
        <v>224</v>
      </c>
      <c r="K108" s="153">
        <v>0.02</v>
      </c>
      <c r="L108" s="156">
        <f t="shared" ref="L108" si="78">K108*I108</f>
        <v>36.119999999999997</v>
      </c>
      <c r="M108" s="58">
        <f>IF(VLOOKUP(E108,'HOURLY RATES'!C$6:D$105,2,0)=0,$E$3,VLOOKUP(E108,'HOURLY RATES'!C$6:D$105,2,0))</f>
        <v>54</v>
      </c>
      <c r="N108" s="157">
        <f t="shared" ref="N108" si="79">M108*L108</f>
        <v>1950.4799999999998</v>
      </c>
      <c r="O108" s="158">
        <v>0.8</v>
      </c>
      <c r="P108" s="158">
        <f t="shared" ref="P108" si="80">O108*I108</f>
        <v>1444.8000000000002</v>
      </c>
      <c r="Q108" s="159">
        <f t="shared" ref="Q108" si="81">P108+N108</f>
        <v>3395.2799999999997</v>
      </c>
      <c r="R108" s="155"/>
      <c r="S108" s="131">
        <f t="shared" si="75"/>
        <v>2.3464526399999994</v>
      </c>
      <c r="T108" s="130">
        <f t="shared" ref="T108" si="82">S108*I108</f>
        <v>4237.6934678399994</v>
      </c>
    </row>
    <row r="109" spans="1:20" s="7" customFormat="1" ht="46.8" x14ac:dyDescent="0.25">
      <c r="A109" s="152">
        <f>IF(J109&lt;&gt;"",1+MAX($A$18:A106),"")</f>
        <v>57</v>
      </c>
      <c r="B109" s="109"/>
      <c r="C109" s="109"/>
      <c r="D109" s="100" t="s">
        <v>35</v>
      </c>
      <c r="E109" s="179" t="s">
        <v>86</v>
      </c>
      <c r="F109" s="176" t="s">
        <v>823</v>
      </c>
      <c r="G109" s="112">
        <v>3855</v>
      </c>
      <c r="H109" s="113">
        <v>0.05</v>
      </c>
      <c r="I109" s="114">
        <f t="shared" ref="I109:I111" si="83">(G109*(1+H109))</f>
        <v>4047.75</v>
      </c>
      <c r="J109" s="99" t="s">
        <v>224</v>
      </c>
      <c r="K109" s="153">
        <v>0.02</v>
      </c>
      <c r="L109" s="156">
        <f t="shared" ref="L109:L111" si="84">K109*I109</f>
        <v>80.954999999999998</v>
      </c>
      <c r="M109" s="58">
        <f>IF(VLOOKUP(E109,'HOURLY RATES'!C$6:D$105,2,0)=0,$E$3,VLOOKUP(E109,'HOURLY RATES'!C$6:D$105,2,0))</f>
        <v>54</v>
      </c>
      <c r="N109" s="157">
        <f t="shared" ref="N109:N111" si="85">M109*L109</f>
        <v>4371.57</v>
      </c>
      <c r="O109" s="158">
        <v>0.8</v>
      </c>
      <c r="P109" s="158">
        <f t="shared" ref="P109:P111" si="86">O109*I109</f>
        <v>3238.2000000000003</v>
      </c>
      <c r="Q109" s="159">
        <f t="shared" ref="Q109:Q111" si="87">P109+N109</f>
        <v>7609.77</v>
      </c>
      <c r="R109" s="155"/>
      <c r="S109" s="131">
        <f t="shared" si="75"/>
        <v>2.3464526399999999</v>
      </c>
      <c r="T109" s="130">
        <f t="shared" ref="T109:T111" si="88">S109*I109</f>
        <v>9497.8536735599992</v>
      </c>
    </row>
    <row r="110" spans="1:20" s="7" customFormat="1" ht="46.8" x14ac:dyDescent="0.25">
      <c r="A110" s="152">
        <f>IF(J110&lt;&gt;"",1+MAX($A$18:A107),"")</f>
        <v>58</v>
      </c>
      <c r="B110" s="109"/>
      <c r="C110" s="109"/>
      <c r="D110" s="100" t="s">
        <v>35</v>
      </c>
      <c r="E110" s="179" t="s">
        <v>86</v>
      </c>
      <c r="F110" s="176" t="s">
        <v>824</v>
      </c>
      <c r="G110" s="112">
        <v>332</v>
      </c>
      <c r="H110" s="113">
        <v>0.05</v>
      </c>
      <c r="I110" s="114">
        <f t="shared" ref="I110" si="89">(G110*(1+H110))</f>
        <v>348.6</v>
      </c>
      <c r="J110" s="99" t="s">
        <v>224</v>
      </c>
      <c r="K110" s="153">
        <v>0.02</v>
      </c>
      <c r="L110" s="156">
        <f t="shared" ref="L110" si="90">K110*I110</f>
        <v>6.9720000000000004</v>
      </c>
      <c r="M110" s="58">
        <f>IF(VLOOKUP(E110,'HOURLY RATES'!C$6:D$105,2,0)=0,$E$3,VLOOKUP(E110,'HOURLY RATES'!C$6:D$105,2,0))</f>
        <v>54</v>
      </c>
      <c r="N110" s="157">
        <f t="shared" ref="N110" si="91">M110*L110</f>
        <v>376.488</v>
      </c>
      <c r="O110" s="158">
        <v>0.8</v>
      </c>
      <c r="P110" s="158">
        <f t="shared" ref="P110" si="92">O110*I110</f>
        <v>278.88000000000005</v>
      </c>
      <c r="Q110" s="159">
        <f t="shared" ref="Q110" si="93">P110+N110</f>
        <v>655.36800000000005</v>
      </c>
      <c r="R110" s="155"/>
      <c r="S110" s="131">
        <f t="shared" si="75"/>
        <v>2.3464526399999999</v>
      </c>
      <c r="T110" s="130">
        <f t="shared" ref="T110" si="94">S110*I110</f>
        <v>817.97339030399996</v>
      </c>
    </row>
    <row r="111" spans="1:20" s="7" customFormat="1" ht="46.8" x14ac:dyDescent="0.25">
      <c r="A111" s="152">
        <f>IF(J111&lt;&gt;"",1+MAX($A$18:A106),"")</f>
        <v>57</v>
      </c>
      <c r="B111" s="109"/>
      <c r="C111" s="109"/>
      <c r="D111" s="100" t="s">
        <v>35</v>
      </c>
      <c r="E111" s="179" t="s">
        <v>86</v>
      </c>
      <c r="F111" s="176" t="s">
        <v>817</v>
      </c>
      <c r="G111" s="112">
        <v>805</v>
      </c>
      <c r="H111" s="113">
        <v>0.05</v>
      </c>
      <c r="I111" s="114">
        <f t="shared" si="83"/>
        <v>845.25</v>
      </c>
      <c r="J111" s="99" t="s">
        <v>224</v>
      </c>
      <c r="K111" s="153">
        <v>0.02</v>
      </c>
      <c r="L111" s="156">
        <f t="shared" si="84"/>
        <v>16.905000000000001</v>
      </c>
      <c r="M111" s="58">
        <f>IF(VLOOKUP(E111,'HOURLY RATES'!C$6:D$105,2,0)=0,$E$3,VLOOKUP(E111,'HOURLY RATES'!C$6:D$105,2,0))</f>
        <v>54</v>
      </c>
      <c r="N111" s="157">
        <f t="shared" si="85"/>
        <v>912.87000000000012</v>
      </c>
      <c r="O111" s="158">
        <v>0.8</v>
      </c>
      <c r="P111" s="158">
        <f t="shared" si="86"/>
        <v>676.2</v>
      </c>
      <c r="Q111" s="159">
        <f t="shared" si="87"/>
        <v>1589.0700000000002</v>
      </c>
      <c r="R111" s="155"/>
      <c r="S111" s="131">
        <f t="shared" si="75"/>
        <v>2.3464526399999999</v>
      </c>
      <c r="T111" s="130">
        <f t="shared" si="88"/>
        <v>1983.3390939599999</v>
      </c>
    </row>
    <row r="112" spans="1:20" s="7" customFormat="1" ht="46.8" x14ac:dyDescent="0.25">
      <c r="A112" s="152">
        <f>IF(J112&lt;&gt;"",1+MAX($A$18:A107),"")</f>
        <v>58</v>
      </c>
      <c r="B112" s="109"/>
      <c r="C112" s="109"/>
      <c r="D112" s="100" t="s">
        <v>35</v>
      </c>
      <c r="E112" s="179" t="s">
        <v>86</v>
      </c>
      <c r="F112" s="176" t="s">
        <v>818</v>
      </c>
      <c r="G112" s="112">
        <v>4436</v>
      </c>
      <c r="H112" s="113">
        <v>0.05</v>
      </c>
      <c r="I112" s="114">
        <f t="shared" si="70"/>
        <v>4657.8</v>
      </c>
      <c r="J112" s="99" t="s">
        <v>224</v>
      </c>
      <c r="K112" s="153">
        <v>0.02</v>
      </c>
      <c r="L112" s="156">
        <f t="shared" si="71"/>
        <v>93.156000000000006</v>
      </c>
      <c r="M112" s="58">
        <f>IF(VLOOKUP(E112,'HOURLY RATES'!C$6:D$105,2,0)=0,$E$3,VLOOKUP(E112,'HOURLY RATES'!C$6:D$105,2,0))</f>
        <v>54</v>
      </c>
      <c r="N112" s="157">
        <f t="shared" si="72"/>
        <v>5030.424</v>
      </c>
      <c r="O112" s="158">
        <v>0.8</v>
      </c>
      <c r="P112" s="158">
        <f t="shared" si="73"/>
        <v>3726.2400000000002</v>
      </c>
      <c r="Q112" s="159">
        <f t="shared" si="74"/>
        <v>8756.6640000000007</v>
      </c>
      <c r="R112" s="155"/>
      <c r="S112" s="131">
        <f t="shared" si="75"/>
        <v>2.3464526399999994</v>
      </c>
      <c r="T112" s="130">
        <f t="shared" si="76"/>
        <v>10929.307106591998</v>
      </c>
    </row>
    <row r="113" spans="1:20" s="7" customFormat="1" ht="46.8" x14ac:dyDescent="0.25">
      <c r="A113" s="152">
        <f>IF(J113&lt;&gt;"",1+MAX($A$18:A112),"")</f>
        <v>59</v>
      </c>
      <c r="B113" s="109"/>
      <c r="C113" s="109"/>
      <c r="D113" s="100" t="s">
        <v>35</v>
      </c>
      <c r="E113" s="179" t="s">
        <v>86</v>
      </c>
      <c r="F113" s="176" t="s">
        <v>819</v>
      </c>
      <c r="G113" s="112">
        <f>126+763</f>
        <v>889</v>
      </c>
      <c r="H113" s="113">
        <v>0.05</v>
      </c>
      <c r="I113" s="114">
        <f t="shared" ref="I113" si="95">(G113*(1+H113))</f>
        <v>933.45</v>
      </c>
      <c r="J113" s="99" t="s">
        <v>224</v>
      </c>
      <c r="K113" s="153">
        <v>0.02</v>
      </c>
      <c r="L113" s="156">
        <f t="shared" ref="L113" si="96">K113*I113</f>
        <v>18.669</v>
      </c>
      <c r="M113" s="58">
        <f>IF(VLOOKUP(E113,'HOURLY RATES'!C$6:D$105,2,0)=0,$E$3,VLOOKUP(E113,'HOURLY RATES'!C$6:D$105,2,0))</f>
        <v>54</v>
      </c>
      <c r="N113" s="157">
        <f t="shared" ref="N113" si="97">M113*L113</f>
        <v>1008.126</v>
      </c>
      <c r="O113" s="158">
        <v>0.8</v>
      </c>
      <c r="P113" s="158">
        <f t="shared" ref="P113" si="98">O113*I113</f>
        <v>746.7600000000001</v>
      </c>
      <c r="Q113" s="159">
        <f t="shared" ref="Q113" si="99">P113+N113</f>
        <v>1754.886</v>
      </c>
      <c r="R113" s="155"/>
      <c r="S113" s="131">
        <f t="shared" si="75"/>
        <v>2.3464526399999999</v>
      </c>
      <c r="T113" s="130">
        <f t="shared" ref="T113" si="100">S113*I113</f>
        <v>2190.2962168079998</v>
      </c>
    </row>
    <row r="114" spans="1:20" s="7" customFormat="1" ht="46.8" x14ac:dyDescent="0.25">
      <c r="A114" s="152">
        <f>IF(J114&lt;&gt;"",1+MAX($A$18:A107),"")</f>
        <v>58</v>
      </c>
      <c r="B114" s="109"/>
      <c r="C114" s="109"/>
      <c r="D114" s="100" t="s">
        <v>35</v>
      </c>
      <c r="E114" s="179" t="s">
        <v>86</v>
      </c>
      <c r="F114" s="176" t="s">
        <v>814</v>
      </c>
      <c r="G114" s="112">
        <f>1034+1283+207</f>
        <v>2524</v>
      </c>
      <c r="H114" s="113">
        <v>0.05</v>
      </c>
      <c r="I114" s="114">
        <f t="shared" si="70"/>
        <v>2650.2000000000003</v>
      </c>
      <c r="J114" s="99" t="s">
        <v>226</v>
      </c>
      <c r="K114" s="153">
        <v>1.7999999999999999E-2</v>
      </c>
      <c r="L114" s="156">
        <f t="shared" si="71"/>
        <v>47.703600000000002</v>
      </c>
      <c r="M114" s="58">
        <f>IF(VLOOKUP(E114,'HOURLY RATES'!C$6:D$105,2,0)=0,$E$3,VLOOKUP(E114,'HOURLY RATES'!C$6:D$105,2,0))</f>
        <v>54</v>
      </c>
      <c r="N114" s="157">
        <f t="shared" si="72"/>
        <v>2575.9944</v>
      </c>
      <c r="O114" s="158">
        <v>0.8</v>
      </c>
      <c r="P114" s="158">
        <f t="shared" si="73"/>
        <v>2120.1600000000003</v>
      </c>
      <c r="Q114" s="159">
        <f t="shared" si="74"/>
        <v>4696.1544000000004</v>
      </c>
      <c r="R114" s="155"/>
      <c r="S114" s="131">
        <f t="shared" ref="S114:S115" si="101">((((N114*(1+$D$7))+(P114*(1+$D$5+$D$6)))*(1+$D$8)))/I114</f>
        <v>2.2149086399999995</v>
      </c>
      <c r="T114" s="130">
        <f t="shared" si="76"/>
        <v>5869.9508777279998</v>
      </c>
    </row>
    <row r="115" spans="1:20" s="7" customFormat="1" ht="46.8" x14ac:dyDescent="0.25">
      <c r="A115" s="152">
        <f>IF(J115&lt;&gt;"",1+MAX($A$18:A107),"")</f>
        <v>58</v>
      </c>
      <c r="B115" s="109"/>
      <c r="C115" s="109"/>
      <c r="D115" s="100" t="s">
        <v>35</v>
      </c>
      <c r="E115" s="179" t="s">
        <v>86</v>
      </c>
      <c r="F115" s="176" t="s">
        <v>781</v>
      </c>
      <c r="G115" s="112">
        <f>1464+522+90</f>
        <v>2076</v>
      </c>
      <c r="H115" s="113">
        <v>0.05</v>
      </c>
      <c r="I115" s="114">
        <f t="shared" si="70"/>
        <v>2179.8000000000002</v>
      </c>
      <c r="J115" s="99" t="s">
        <v>226</v>
      </c>
      <c r="K115" s="153">
        <v>1.7999999999999999E-2</v>
      </c>
      <c r="L115" s="156">
        <f t="shared" si="71"/>
        <v>39.236400000000003</v>
      </c>
      <c r="M115" s="58">
        <f>IF(VLOOKUP(E115,'HOURLY RATES'!C$6:D$105,2,0)=0,$E$3,VLOOKUP(E115,'HOURLY RATES'!C$6:D$105,2,0))</f>
        <v>54</v>
      </c>
      <c r="N115" s="157">
        <f t="shared" si="72"/>
        <v>2118.7656000000002</v>
      </c>
      <c r="O115" s="158">
        <v>0.8</v>
      </c>
      <c r="P115" s="158">
        <f t="shared" si="73"/>
        <v>1743.8400000000001</v>
      </c>
      <c r="Q115" s="159">
        <f t="shared" si="74"/>
        <v>3862.6056000000003</v>
      </c>
      <c r="R115" s="155"/>
      <c r="S115" s="131">
        <f t="shared" si="101"/>
        <v>2.2149086399999995</v>
      </c>
      <c r="T115" s="130">
        <f t="shared" si="76"/>
        <v>4828.0578534719998</v>
      </c>
    </row>
    <row r="116" spans="1:20" s="7" customFormat="1" ht="46.8" x14ac:dyDescent="0.25">
      <c r="A116" s="152">
        <f>IF(J116&lt;&gt;"",1+MAX($A$18:A108),"")</f>
        <v>58</v>
      </c>
      <c r="B116" s="109"/>
      <c r="C116" s="109"/>
      <c r="D116" s="100" t="s">
        <v>35</v>
      </c>
      <c r="E116" s="179" t="s">
        <v>86</v>
      </c>
      <c r="F116" s="176" t="s">
        <v>822</v>
      </c>
      <c r="G116" s="112">
        <v>67</v>
      </c>
      <c r="H116" s="113">
        <v>0.05</v>
      </c>
      <c r="I116" s="114">
        <f t="shared" ref="I116" si="102">(G116*(1+H116))</f>
        <v>70.350000000000009</v>
      </c>
      <c r="J116" s="99" t="s">
        <v>226</v>
      </c>
      <c r="K116" s="153">
        <v>1.18E-2</v>
      </c>
      <c r="L116" s="156">
        <f t="shared" ref="L116" si="103">K116*I116</f>
        <v>0.83013000000000003</v>
      </c>
      <c r="M116" s="58">
        <f>IF(VLOOKUP(E116,'HOURLY RATES'!C$6:D$105,2,0)=0,$E$3,VLOOKUP(E116,'HOURLY RATES'!C$6:D$105,2,0))</f>
        <v>54</v>
      </c>
      <c r="N116" s="157">
        <f t="shared" ref="N116" si="104">M116*L116</f>
        <v>44.827020000000005</v>
      </c>
      <c r="O116" s="158">
        <v>0.8</v>
      </c>
      <c r="P116" s="158">
        <f t="shared" ref="P116" si="105">O116*I116</f>
        <v>56.280000000000008</v>
      </c>
      <c r="Q116" s="159">
        <f t="shared" ref="Q116" si="106">P116+N116</f>
        <v>101.10702000000001</v>
      </c>
      <c r="R116" s="155"/>
      <c r="S116" s="131">
        <f t="shared" ref="S116" si="107">((((N116*(1+$D$7))+(P116*(1+$D$5+$D$6)))*(1+$D$8)))/I116</f>
        <v>1.80712224</v>
      </c>
      <c r="T116" s="130">
        <f t="shared" ref="T116" si="108">S116*I116</f>
        <v>127.13104958400001</v>
      </c>
    </row>
    <row r="117" spans="1:20" s="7" customFormat="1" x14ac:dyDescent="0.25">
      <c r="A117" s="152" t="str">
        <f>IF(J117&lt;&gt;"",1+MAX($A$18:A115),"")</f>
        <v/>
      </c>
      <c r="B117" s="50"/>
      <c r="C117" s="50"/>
      <c r="D117" s="100"/>
      <c r="E117" s="178"/>
      <c r="F117" s="175" t="s">
        <v>222</v>
      </c>
      <c r="G117" s="51"/>
      <c r="H117" s="52"/>
      <c r="I117" s="53"/>
      <c r="J117" s="99"/>
      <c r="K117" s="153"/>
      <c r="L117" s="60"/>
      <c r="M117" s="58"/>
      <c r="N117" s="58"/>
      <c r="O117" s="61"/>
      <c r="P117" s="61"/>
      <c r="Q117" s="62"/>
      <c r="R117" s="155"/>
      <c r="S117" s="131"/>
      <c r="T117" s="130"/>
    </row>
    <row r="118" spans="1:20" s="7" customFormat="1" ht="18" x14ac:dyDescent="0.25">
      <c r="A118" s="152" t="str">
        <f>IF(J118&lt;&gt;"",1+MAX($A$18:A117),"")</f>
        <v/>
      </c>
      <c r="B118" s="50"/>
      <c r="C118" s="63"/>
      <c r="D118" s="100"/>
      <c r="E118" s="178"/>
      <c r="F118" s="173" t="s">
        <v>720</v>
      </c>
      <c r="G118" s="51"/>
      <c r="H118" s="52"/>
      <c r="I118" s="53"/>
      <c r="J118" s="99"/>
      <c r="K118" s="153"/>
      <c r="L118" s="60"/>
      <c r="M118" s="58"/>
      <c r="N118" s="58"/>
      <c r="O118" s="61"/>
      <c r="P118" s="61"/>
      <c r="Q118" s="62"/>
      <c r="R118" s="155"/>
      <c r="S118" s="131"/>
      <c r="T118" s="130"/>
    </row>
    <row r="119" spans="1:20" s="7" customFormat="1" x14ac:dyDescent="0.25">
      <c r="A119" s="152">
        <f>IF(J119&lt;&gt;"",1+MAX($A$18:A91),"")</f>
        <v>50</v>
      </c>
      <c r="B119" s="50"/>
      <c r="C119" s="63"/>
      <c r="D119" s="100"/>
      <c r="E119" s="178"/>
      <c r="F119" s="177" t="s">
        <v>807</v>
      </c>
      <c r="G119" s="108">
        <v>9</v>
      </c>
      <c r="H119" s="52"/>
      <c r="I119" s="53"/>
      <c r="J119" s="99" t="s">
        <v>225</v>
      </c>
      <c r="K119" s="153"/>
      <c r="L119" s="60"/>
      <c r="M119" s="58"/>
      <c r="N119" s="58"/>
      <c r="O119" s="61"/>
      <c r="P119" s="61"/>
      <c r="Q119" s="62"/>
      <c r="R119" s="155"/>
      <c r="S119" s="131"/>
      <c r="T119" s="130"/>
    </row>
    <row r="120" spans="1:20" s="7" customFormat="1" x14ac:dyDescent="0.25">
      <c r="A120" s="152" t="str">
        <f>IF(J120&lt;&gt;"",1+MAX($A$18:A119),"")</f>
        <v/>
      </c>
      <c r="B120" s="50"/>
      <c r="C120" s="63"/>
      <c r="D120" s="100"/>
      <c r="E120" s="178"/>
      <c r="F120" s="172" t="s">
        <v>722</v>
      </c>
      <c r="G120" s="51"/>
      <c r="H120" s="52"/>
      <c r="I120" s="53"/>
      <c r="J120" s="99"/>
      <c r="K120" s="153"/>
      <c r="L120" s="60"/>
      <c r="M120" s="58"/>
      <c r="N120" s="58"/>
      <c r="O120" s="61"/>
      <c r="P120" s="61"/>
      <c r="Q120" s="62"/>
      <c r="R120" s="155"/>
      <c r="S120" s="131"/>
      <c r="T120" s="130"/>
    </row>
    <row r="121" spans="1:20" s="7" customFormat="1" ht="31.2" x14ac:dyDescent="0.25">
      <c r="A121" s="152">
        <f>IF(J121&lt;&gt;"",1+MAX($A$18:A120),"")</f>
        <v>60</v>
      </c>
      <c r="B121" s="50"/>
      <c r="C121" s="50"/>
      <c r="D121" s="100" t="s">
        <v>35</v>
      </c>
      <c r="E121" s="178" t="s">
        <v>104</v>
      </c>
      <c r="F121" s="175" t="s">
        <v>758</v>
      </c>
      <c r="G121" s="51">
        <f>560*9</f>
        <v>5040</v>
      </c>
      <c r="H121" s="52">
        <f>IF(VLOOKUP(J121,'HOURLY RATES'!B$116:C$124,2,0)=0,$J$3,VLOOKUP(J121,'HOURLY RATES'!B$116:C$124,2,0))</f>
        <v>0.05</v>
      </c>
      <c r="I121" s="53">
        <f t="shared" ref="I121" si="109">(G121*(1+H121))</f>
        <v>5292</v>
      </c>
      <c r="J121" s="99" t="s">
        <v>224</v>
      </c>
      <c r="K121" s="153">
        <v>2.1999999999999999E-2</v>
      </c>
      <c r="L121" s="60">
        <f t="shared" ref="L121" si="110">K121*I121</f>
        <v>116.42399999999999</v>
      </c>
      <c r="M121" s="58">
        <f>IF(VLOOKUP(E121,'HOURLY RATES'!C$6:D$105,2,0)=0,$E$3,VLOOKUP(E121,'HOURLY RATES'!C$6:D$105,2,0))</f>
        <v>54</v>
      </c>
      <c r="N121" s="58">
        <f t="shared" ref="N121" si="111">M121*L121</f>
        <v>6286.8959999999997</v>
      </c>
      <c r="O121" s="61">
        <v>0.4</v>
      </c>
      <c r="P121" s="61">
        <f t="shared" ref="P121" si="112">O121*I121</f>
        <v>2116.8000000000002</v>
      </c>
      <c r="Q121" s="62">
        <f t="shared" ref="Q121" si="113">P121+N121</f>
        <v>8403.6959999999999</v>
      </c>
      <c r="R121" s="155"/>
      <c r="S121" s="131">
        <f>((((N121*(1+$D$7))+(P121*(1+$D$5+$D$6)))*(1+$D$8)))/I121</f>
        <v>1.9624903199999997</v>
      </c>
      <c r="T121" s="130">
        <f t="shared" ref="T121" si="114">S121*I121</f>
        <v>10385.498773439998</v>
      </c>
    </row>
    <row r="122" spans="1:20" s="7" customFormat="1" x14ac:dyDescent="0.25">
      <c r="A122" s="152"/>
      <c r="B122" s="50"/>
      <c r="C122" s="63"/>
      <c r="D122" s="100"/>
      <c r="E122" s="178"/>
      <c r="F122" s="103"/>
      <c r="G122" s="51"/>
      <c r="H122" s="52"/>
      <c r="I122" s="53"/>
      <c r="J122" s="99"/>
      <c r="K122" s="153"/>
      <c r="L122" s="60"/>
      <c r="M122" s="58"/>
      <c r="N122" s="58"/>
      <c r="O122" s="61"/>
      <c r="P122" s="61"/>
      <c r="Q122" s="62"/>
      <c r="R122" s="155"/>
      <c r="S122" s="131"/>
      <c r="T122" s="130"/>
    </row>
    <row r="123" spans="1:20" s="7" customFormat="1" x14ac:dyDescent="0.25">
      <c r="A123" s="152" t="str">
        <f>IF(J123&lt;&gt;"",1+MAX($A$18:A121),"")</f>
        <v/>
      </c>
      <c r="B123" s="50"/>
      <c r="C123" s="63"/>
      <c r="D123" s="100"/>
      <c r="E123" s="178"/>
      <c r="F123" s="172" t="s">
        <v>719</v>
      </c>
      <c r="G123" s="51"/>
      <c r="H123" s="52"/>
      <c r="I123" s="53"/>
      <c r="J123" s="99"/>
      <c r="K123" s="153"/>
      <c r="L123" s="60"/>
      <c r="M123" s="58"/>
      <c r="N123" s="58"/>
      <c r="O123" s="61"/>
      <c r="P123" s="61"/>
      <c r="Q123" s="62"/>
      <c r="R123" s="155"/>
      <c r="S123" s="131"/>
      <c r="T123" s="130"/>
    </row>
    <row r="124" spans="1:20" s="7" customFormat="1" ht="31.2" x14ac:dyDescent="0.25">
      <c r="A124" s="152">
        <f>IF(J124&lt;&gt;"",1+MAX($A$18:A123),"")</f>
        <v>61</v>
      </c>
      <c r="B124" s="50"/>
      <c r="C124" s="50"/>
      <c r="D124" s="100" t="s">
        <v>35</v>
      </c>
      <c r="E124" s="178" t="s">
        <v>104</v>
      </c>
      <c r="F124" s="175" t="s">
        <v>760</v>
      </c>
      <c r="G124" s="51">
        <f>220*9</f>
        <v>1980</v>
      </c>
      <c r="H124" s="52">
        <f>IF(VLOOKUP(J124,'HOURLY RATES'!B$116:C$124,2,0)=0,$J$3,VLOOKUP(J124,'HOURLY RATES'!B$116:C$124,2,0))</f>
        <v>0.05</v>
      </c>
      <c r="I124" s="53">
        <f t="shared" ref="I124" si="115">(G124*(1+H124))</f>
        <v>2079</v>
      </c>
      <c r="J124" s="99" t="s">
        <v>226</v>
      </c>
      <c r="K124" s="153">
        <v>1.7999999999999999E-2</v>
      </c>
      <c r="L124" s="60">
        <f t="shared" ref="L124" si="116">K124*I124</f>
        <v>37.421999999999997</v>
      </c>
      <c r="M124" s="58">
        <f>IF(VLOOKUP(E124,'HOURLY RATES'!C$6:D$105,2,0)=0,$E$3,VLOOKUP(E124,'HOURLY RATES'!C$6:D$105,2,0))</f>
        <v>54</v>
      </c>
      <c r="N124" s="58">
        <f t="shared" ref="N124" si="117">M124*L124</f>
        <v>2020.7879999999998</v>
      </c>
      <c r="O124" s="61">
        <v>0.8</v>
      </c>
      <c r="P124" s="61">
        <f t="shared" ref="P124" si="118">O124*I124</f>
        <v>1663.2</v>
      </c>
      <c r="Q124" s="62">
        <f t="shared" ref="Q124" si="119">P124+N124</f>
        <v>3683.9879999999998</v>
      </c>
      <c r="R124" s="155"/>
      <c r="S124" s="131">
        <f>((((N124*(1+$D$7))+(P124*(1+$D$5+$D$6)))*(1+$D$8)))/I124</f>
        <v>2.2149086399999995</v>
      </c>
      <c r="T124" s="130">
        <f t="shared" ref="T124" si="120">S124*I124</f>
        <v>4604.7950625599988</v>
      </c>
    </row>
    <row r="125" spans="1:20" s="7" customFormat="1" x14ac:dyDescent="0.25">
      <c r="A125" s="152"/>
      <c r="B125" s="50"/>
      <c r="C125" s="63"/>
      <c r="D125" s="100"/>
      <c r="E125" s="178"/>
      <c r="F125" s="103"/>
      <c r="G125" s="51"/>
      <c r="H125" s="52"/>
      <c r="I125" s="53"/>
      <c r="J125" s="99"/>
      <c r="K125" s="153"/>
      <c r="L125" s="60"/>
      <c r="M125" s="58"/>
      <c r="N125" s="58"/>
      <c r="O125" s="61"/>
      <c r="P125" s="61"/>
      <c r="Q125" s="62"/>
      <c r="R125" s="155"/>
      <c r="S125" s="131"/>
      <c r="T125" s="130"/>
    </row>
    <row r="126" spans="1:20" s="7" customFormat="1" x14ac:dyDescent="0.25">
      <c r="A126" s="152" t="str">
        <f>IF(J126&lt;&gt;"",1+MAX($A$18:A124),"")</f>
        <v/>
      </c>
      <c r="B126" s="50"/>
      <c r="C126" s="63"/>
      <c r="D126" s="100"/>
      <c r="E126" s="178"/>
      <c r="F126" s="172" t="s">
        <v>223</v>
      </c>
      <c r="G126" s="51"/>
      <c r="H126" s="52"/>
      <c r="I126" s="53"/>
      <c r="J126" s="99"/>
      <c r="K126" s="153"/>
      <c r="L126" s="60"/>
      <c r="M126" s="58"/>
      <c r="N126" s="58"/>
      <c r="O126" s="61"/>
      <c r="P126" s="61"/>
      <c r="Q126" s="62"/>
      <c r="R126" s="155"/>
      <c r="S126" s="131"/>
      <c r="T126" s="130"/>
    </row>
    <row r="127" spans="1:20" s="7" customFormat="1" ht="31.2" x14ac:dyDescent="0.25">
      <c r="A127" s="152">
        <f>IF(J127&lt;&gt;"",1+MAX($A$18:A126),"")</f>
        <v>62</v>
      </c>
      <c r="B127" s="50"/>
      <c r="C127" s="50"/>
      <c r="D127" s="100" t="s">
        <v>35</v>
      </c>
      <c r="E127" s="178" t="s">
        <v>104</v>
      </c>
      <c r="F127" s="175" t="s">
        <v>757</v>
      </c>
      <c r="G127" s="51">
        <f>1381*9</f>
        <v>12429</v>
      </c>
      <c r="H127" s="52">
        <f>IF(VLOOKUP(J127,'HOURLY RATES'!B$116:C$124,2,0)=0,$J$3,VLOOKUP(J127,'HOURLY RATES'!B$116:C$124,2,0))</f>
        <v>0.05</v>
      </c>
      <c r="I127" s="53">
        <f t="shared" ref="I127:I128" si="121">(G127*(1+H127))</f>
        <v>13050.45</v>
      </c>
      <c r="J127" s="99" t="s">
        <v>224</v>
      </c>
      <c r="K127" s="153">
        <v>0.02</v>
      </c>
      <c r="L127" s="60">
        <f t="shared" ref="L127:L128" si="122">K127*I127</f>
        <v>261.00900000000001</v>
      </c>
      <c r="M127" s="58">
        <f>IF(VLOOKUP(E127,'HOURLY RATES'!C$6:D$105,2,0)=0,$E$3,VLOOKUP(E127,'HOURLY RATES'!C$6:D$105,2,0))</f>
        <v>54</v>
      </c>
      <c r="N127" s="58">
        <f t="shared" ref="N127:N128" si="123">M127*L127</f>
        <v>14094.486000000001</v>
      </c>
      <c r="O127" s="61">
        <v>0.4</v>
      </c>
      <c r="P127" s="61">
        <f t="shared" ref="P127:P128" si="124">O127*I127</f>
        <v>5220.18</v>
      </c>
      <c r="Q127" s="62">
        <f t="shared" ref="Q127:Q128" si="125">P127+N127</f>
        <v>19314.666000000001</v>
      </c>
      <c r="R127" s="155"/>
      <c r="S127" s="131">
        <f>((((N127*(1+$D$7))+(P127*(1+$D$5+$D$6)))*(1+$D$8)))/I127</f>
        <v>1.8309463199999996</v>
      </c>
      <c r="T127" s="130">
        <f t="shared" ref="T127:T128" si="126">S127*I127</f>
        <v>23894.673401843997</v>
      </c>
    </row>
    <row r="128" spans="1:20" s="7" customFormat="1" ht="31.2" x14ac:dyDescent="0.25">
      <c r="A128" s="152">
        <f>IF(J128&lt;&gt;"",1+MAX($A$18:A127),"")</f>
        <v>63</v>
      </c>
      <c r="B128" s="50"/>
      <c r="C128" s="50"/>
      <c r="D128" s="100" t="s">
        <v>35</v>
      </c>
      <c r="E128" s="178" t="s">
        <v>104</v>
      </c>
      <c r="F128" s="175" t="s">
        <v>759</v>
      </c>
      <c r="G128" s="51">
        <f>178*9</f>
        <v>1602</v>
      </c>
      <c r="H128" s="52">
        <f>IF(VLOOKUP(J128,'HOURLY RATES'!B$116:C$124,2,0)=0,$J$3,VLOOKUP(J128,'HOURLY RATES'!B$116:C$124,2,0))</f>
        <v>0.05</v>
      </c>
      <c r="I128" s="53">
        <f t="shared" si="121"/>
        <v>1682.1000000000001</v>
      </c>
      <c r="J128" s="99" t="s">
        <v>224</v>
      </c>
      <c r="K128" s="153">
        <v>0.02</v>
      </c>
      <c r="L128" s="60">
        <f t="shared" si="122"/>
        <v>33.642000000000003</v>
      </c>
      <c r="M128" s="58">
        <f>IF(VLOOKUP(E128,'HOURLY RATES'!C$6:D$105,2,0)=0,$E$3,VLOOKUP(E128,'HOURLY RATES'!C$6:D$105,2,0))</f>
        <v>54</v>
      </c>
      <c r="N128" s="58">
        <f t="shared" si="123"/>
        <v>1816.6680000000001</v>
      </c>
      <c r="O128" s="61">
        <v>0.4</v>
      </c>
      <c r="P128" s="61">
        <f t="shared" si="124"/>
        <v>672.84000000000015</v>
      </c>
      <c r="Q128" s="62">
        <f t="shared" si="125"/>
        <v>2489.5080000000003</v>
      </c>
      <c r="R128" s="155"/>
      <c r="S128" s="131">
        <f>((((N128*(1+$D$7))+(P128*(1+$D$5+$D$6)))*(1+$D$8)))/I128</f>
        <v>1.8309463199999998</v>
      </c>
      <c r="T128" s="130">
        <f t="shared" si="126"/>
        <v>3079.8348048719999</v>
      </c>
    </row>
    <row r="129" spans="1:20" s="7" customFormat="1" x14ac:dyDescent="0.25">
      <c r="A129" s="152"/>
      <c r="B129" s="50"/>
      <c r="C129" s="63"/>
      <c r="D129" s="100"/>
      <c r="E129" s="178"/>
      <c r="F129" s="103"/>
      <c r="G129" s="51"/>
      <c r="H129" s="52"/>
      <c r="I129" s="53"/>
      <c r="J129" s="99"/>
      <c r="K129" s="153"/>
      <c r="L129" s="60"/>
      <c r="M129" s="58"/>
      <c r="N129" s="58"/>
      <c r="O129" s="61"/>
      <c r="P129" s="61"/>
      <c r="Q129" s="62"/>
      <c r="R129" s="155"/>
      <c r="S129" s="131"/>
      <c r="T129" s="130"/>
    </row>
    <row r="130" spans="1:20" s="7" customFormat="1" x14ac:dyDescent="0.25">
      <c r="A130" s="152" t="str">
        <f>IF(J130&lt;&gt;"",1+MAX($A$18:A127),"")</f>
        <v/>
      </c>
      <c r="B130" s="50"/>
      <c r="C130" s="63"/>
      <c r="D130" s="100"/>
      <c r="E130" s="178"/>
      <c r="F130" s="172" t="s">
        <v>723</v>
      </c>
      <c r="G130" s="51"/>
      <c r="H130" s="52"/>
      <c r="I130" s="53"/>
      <c r="J130" s="99"/>
      <c r="K130" s="153"/>
      <c r="L130" s="60"/>
      <c r="M130" s="58"/>
      <c r="N130" s="58"/>
      <c r="O130" s="61"/>
      <c r="P130" s="61"/>
      <c r="Q130" s="62"/>
      <c r="R130" s="155"/>
      <c r="S130" s="131"/>
      <c r="T130" s="130"/>
    </row>
    <row r="131" spans="1:20" s="7" customFormat="1" ht="31.2" x14ac:dyDescent="0.25">
      <c r="A131" s="152">
        <f>IF(J131&lt;&gt;"",1+MAX($A$18:A130),"")</f>
        <v>64</v>
      </c>
      <c r="B131" s="50"/>
      <c r="C131" s="50"/>
      <c r="D131" s="100" t="s">
        <v>35</v>
      </c>
      <c r="E131" s="178" t="s">
        <v>104</v>
      </c>
      <c r="F131" s="175" t="s">
        <v>804</v>
      </c>
      <c r="G131" s="51">
        <f>8*9</f>
        <v>72</v>
      </c>
      <c r="H131" s="52">
        <f>IF(VLOOKUP(J131,'HOURLY RATES'!B$116:C$124,2,0)=0,$J$3,VLOOKUP(J131,'HOURLY RATES'!B$116:C$124,2,0))</f>
        <v>0</v>
      </c>
      <c r="I131" s="53">
        <f t="shared" ref="I131:I133" si="127">(G131*(1+H131))</f>
        <v>72</v>
      </c>
      <c r="J131" s="99" t="s">
        <v>225</v>
      </c>
      <c r="K131" s="153">
        <v>1.23</v>
      </c>
      <c r="L131" s="60">
        <f t="shared" ref="L131:L133" si="128">K131*I131</f>
        <v>88.56</v>
      </c>
      <c r="M131" s="58">
        <f>IF(VLOOKUP(E131,'HOURLY RATES'!C$6:D$105,2,0)=0,$E$3,VLOOKUP(E131,'HOURLY RATES'!C$6:D$105,2,0))</f>
        <v>54</v>
      </c>
      <c r="N131" s="58">
        <f t="shared" ref="N131:N133" si="129">M131*L131</f>
        <v>4782.24</v>
      </c>
      <c r="O131" s="61">
        <v>28</v>
      </c>
      <c r="P131" s="61">
        <f t="shared" ref="P131:P133" si="130">O131*I131</f>
        <v>2016</v>
      </c>
      <c r="Q131" s="62">
        <f t="shared" ref="Q131:Q133" si="131">P131+N131</f>
        <v>6798.24</v>
      </c>
      <c r="R131" s="155"/>
      <c r="S131" s="131">
        <f>((((N131*(1+$D$7))+(P131*(1+$D$5+$D$6)))*(1+$D$8)))/I131</f>
        <v>116.98500239999998</v>
      </c>
      <c r="T131" s="130">
        <f t="shared" ref="T131:T133" si="132">S131*I131</f>
        <v>8422.9201727999989</v>
      </c>
    </row>
    <row r="132" spans="1:20" s="7" customFormat="1" ht="31.2" x14ac:dyDescent="0.25">
      <c r="A132" s="152">
        <f>IF(J132&lt;&gt;"",1+MAX($A$18:A131),"")</f>
        <v>65</v>
      </c>
      <c r="B132" s="50"/>
      <c r="C132" s="50"/>
      <c r="D132" s="100" t="s">
        <v>35</v>
      </c>
      <c r="E132" s="178" t="s">
        <v>104</v>
      </c>
      <c r="F132" s="175" t="s">
        <v>805</v>
      </c>
      <c r="G132" s="51">
        <f>103*9</f>
        <v>927</v>
      </c>
      <c r="H132" s="52">
        <f>IF(VLOOKUP(J132,'HOURLY RATES'!B$116:C$124,2,0)=0,$J$3,VLOOKUP(J132,'HOURLY RATES'!B$116:C$124,2,0))</f>
        <v>0.05</v>
      </c>
      <c r="I132" s="53">
        <f t="shared" si="127"/>
        <v>973.35</v>
      </c>
      <c r="J132" s="99" t="s">
        <v>226</v>
      </c>
      <c r="K132" s="153">
        <v>1.7999999999999999E-2</v>
      </c>
      <c r="L132" s="60">
        <f t="shared" si="128"/>
        <v>17.520299999999999</v>
      </c>
      <c r="M132" s="58">
        <f>IF(VLOOKUP(E132,'HOURLY RATES'!C$6:D$105,2,0)=0,$E$3,VLOOKUP(E132,'HOURLY RATES'!C$6:D$105,2,0))</f>
        <v>54</v>
      </c>
      <c r="N132" s="58">
        <f t="shared" si="129"/>
        <v>946.09619999999995</v>
      </c>
      <c r="O132" s="61">
        <v>0.8</v>
      </c>
      <c r="P132" s="61">
        <f t="shared" si="130"/>
        <v>778.68000000000006</v>
      </c>
      <c r="Q132" s="62">
        <f t="shared" si="131"/>
        <v>1724.7762</v>
      </c>
      <c r="R132" s="155"/>
      <c r="S132" s="131">
        <f>((((N132*(1+$D$7))+(P132*(1+$D$5+$D$6)))*(1+$D$8)))/I132</f>
        <v>2.2149086399999995</v>
      </c>
      <c r="T132" s="130">
        <f t="shared" si="132"/>
        <v>2155.8813247439998</v>
      </c>
    </row>
    <row r="133" spans="1:20" s="7" customFormat="1" ht="31.2" x14ac:dyDescent="0.25">
      <c r="A133" s="152">
        <f>IF(J133&lt;&gt;"",1+MAX($A$18:A132),"")</f>
        <v>66</v>
      </c>
      <c r="B133" s="50"/>
      <c r="C133" s="50"/>
      <c r="D133" s="100" t="s">
        <v>35</v>
      </c>
      <c r="E133" s="178" t="s">
        <v>104</v>
      </c>
      <c r="F133" s="175" t="s">
        <v>806</v>
      </c>
      <c r="G133" s="51">
        <f>206*9</f>
        <v>1854</v>
      </c>
      <c r="H133" s="52">
        <f>IF(VLOOKUP(J133,'HOURLY RATES'!B$116:C$124,2,0)=0,$J$3,VLOOKUP(J133,'HOURLY RATES'!B$116:C$124,2,0))</f>
        <v>0.05</v>
      </c>
      <c r="I133" s="53">
        <f t="shared" si="127"/>
        <v>1946.7</v>
      </c>
      <c r="J133" s="99" t="s">
        <v>226</v>
      </c>
      <c r="K133" s="153">
        <v>1.7999999999999999E-2</v>
      </c>
      <c r="L133" s="60">
        <f t="shared" si="128"/>
        <v>35.040599999999998</v>
      </c>
      <c r="M133" s="58">
        <f>IF(VLOOKUP(E133,'HOURLY RATES'!C$6:D$105,2,0)=0,$E$3,VLOOKUP(E133,'HOURLY RATES'!C$6:D$105,2,0))</f>
        <v>54</v>
      </c>
      <c r="N133" s="58">
        <f t="shared" si="129"/>
        <v>1892.1923999999999</v>
      </c>
      <c r="O133" s="61">
        <v>0.8</v>
      </c>
      <c r="P133" s="61">
        <f t="shared" si="130"/>
        <v>1557.3600000000001</v>
      </c>
      <c r="Q133" s="62">
        <f t="shared" si="131"/>
        <v>3449.5524</v>
      </c>
      <c r="R133" s="155"/>
      <c r="S133" s="131">
        <f>((((N133*(1+$D$7))+(P133*(1+$D$5+$D$6)))*(1+$D$8)))/I133</f>
        <v>2.2149086399999995</v>
      </c>
      <c r="T133" s="130">
        <f t="shared" si="132"/>
        <v>4311.7626494879996</v>
      </c>
    </row>
    <row r="134" spans="1:20" s="7" customFormat="1" x14ac:dyDescent="0.25">
      <c r="A134" s="152"/>
      <c r="B134" s="50"/>
      <c r="C134" s="63"/>
      <c r="D134" s="100"/>
      <c r="E134" s="178"/>
      <c r="F134" s="103"/>
      <c r="G134" s="51"/>
      <c r="H134" s="52"/>
      <c r="I134" s="53"/>
      <c r="J134" s="99"/>
      <c r="K134" s="153"/>
      <c r="L134" s="60"/>
      <c r="M134" s="58"/>
      <c r="N134" s="58"/>
      <c r="O134" s="61"/>
      <c r="P134" s="61"/>
      <c r="Q134" s="62"/>
      <c r="R134" s="155"/>
      <c r="S134" s="131"/>
      <c r="T134" s="130"/>
    </row>
    <row r="135" spans="1:20" s="7" customFormat="1" x14ac:dyDescent="0.25">
      <c r="A135" s="152">
        <f>IF(J135&lt;&gt;"",1+MAX($A$18:A118),"")</f>
        <v>60</v>
      </c>
      <c r="B135" s="50"/>
      <c r="C135" s="63"/>
      <c r="D135" s="100"/>
      <c r="E135" s="178"/>
      <c r="F135" s="177" t="s">
        <v>767</v>
      </c>
      <c r="G135" s="108">
        <v>25</v>
      </c>
      <c r="H135" s="52"/>
      <c r="I135" s="53"/>
      <c r="J135" s="99" t="s">
        <v>225</v>
      </c>
      <c r="K135" s="153"/>
      <c r="L135" s="60"/>
      <c r="M135" s="58"/>
      <c r="N135" s="58"/>
      <c r="O135" s="61"/>
      <c r="P135" s="61"/>
      <c r="Q135" s="62"/>
      <c r="R135" s="155"/>
      <c r="S135" s="131"/>
      <c r="T135" s="130"/>
    </row>
    <row r="136" spans="1:20" s="7" customFormat="1" x14ac:dyDescent="0.25">
      <c r="A136" s="152" t="str">
        <f>IF(J136&lt;&gt;"",1+MAX($A$18:A135),"")</f>
        <v/>
      </c>
      <c r="B136" s="50"/>
      <c r="C136" s="63"/>
      <c r="D136" s="100"/>
      <c r="E136" s="178"/>
      <c r="F136" s="172" t="s">
        <v>722</v>
      </c>
      <c r="G136" s="51"/>
      <c r="H136" s="52"/>
      <c r="I136" s="53"/>
      <c r="J136" s="99"/>
      <c r="K136" s="153"/>
      <c r="L136" s="60"/>
      <c r="M136" s="58"/>
      <c r="N136" s="58"/>
      <c r="O136" s="61"/>
      <c r="P136" s="61"/>
      <c r="Q136" s="62"/>
      <c r="R136" s="155"/>
      <c r="S136" s="131"/>
      <c r="T136" s="130"/>
    </row>
    <row r="137" spans="1:20" s="7" customFormat="1" ht="31.2" x14ac:dyDescent="0.25">
      <c r="A137" s="152">
        <f>IF(J137&lt;&gt;"",1+MAX($A$18:A136),"")</f>
        <v>67</v>
      </c>
      <c r="B137" s="50"/>
      <c r="C137" s="50"/>
      <c r="D137" s="100" t="s">
        <v>35</v>
      </c>
      <c r="E137" s="178" t="s">
        <v>104</v>
      </c>
      <c r="F137" s="175" t="s">
        <v>758</v>
      </c>
      <c r="G137" s="51">
        <f>796*25</f>
        <v>19900</v>
      </c>
      <c r="H137" s="52">
        <f>IF(VLOOKUP(J137,'HOURLY RATES'!B$116:C$124,2,0)=0,$J$3,VLOOKUP(J137,'HOURLY RATES'!B$116:C$124,2,0))</f>
        <v>0.05</v>
      </c>
      <c r="I137" s="53">
        <f t="shared" ref="I137" si="133">(G137*(1+H137))</f>
        <v>20895</v>
      </c>
      <c r="J137" s="99" t="s">
        <v>224</v>
      </c>
      <c r="K137" s="153">
        <v>2.1999999999999999E-2</v>
      </c>
      <c r="L137" s="60">
        <f t="shared" ref="L137" si="134">K137*I137</f>
        <v>459.69</v>
      </c>
      <c r="M137" s="58">
        <f>IF(VLOOKUP(E137,'HOURLY RATES'!C$6:D$105,2,0)=0,$E$3,VLOOKUP(E137,'HOURLY RATES'!C$6:D$105,2,0))</f>
        <v>54</v>
      </c>
      <c r="N137" s="58">
        <f t="shared" ref="N137" si="135">M137*L137</f>
        <v>24823.26</v>
      </c>
      <c r="O137" s="61">
        <v>0.4</v>
      </c>
      <c r="P137" s="61">
        <f t="shared" ref="P137" si="136">O137*I137</f>
        <v>8358</v>
      </c>
      <c r="Q137" s="62">
        <f t="shared" ref="Q137" si="137">P137+N137</f>
        <v>33181.259999999995</v>
      </c>
      <c r="R137" s="155"/>
      <c r="S137" s="131">
        <f>((((N137*(1+$D$7))+(P137*(1+$D$5+$D$6)))*(1+$D$8)))/I137</f>
        <v>1.9624903199999995</v>
      </c>
      <c r="T137" s="130">
        <f t="shared" ref="T137" si="138">S137*I137</f>
        <v>41006.235236399989</v>
      </c>
    </row>
    <row r="138" spans="1:20" s="7" customFormat="1" x14ac:dyDescent="0.25">
      <c r="A138" s="152"/>
      <c r="B138" s="50"/>
      <c r="C138" s="63"/>
      <c r="D138" s="100"/>
      <c r="E138" s="178"/>
      <c r="F138" s="103"/>
      <c r="G138" s="51"/>
      <c r="H138" s="52"/>
      <c r="I138" s="53"/>
      <c r="J138" s="99"/>
      <c r="K138" s="153"/>
      <c r="L138" s="60"/>
      <c r="M138" s="58"/>
      <c r="N138" s="58"/>
      <c r="O138" s="61"/>
      <c r="P138" s="61"/>
      <c r="Q138" s="62"/>
      <c r="R138" s="155"/>
      <c r="S138" s="131"/>
      <c r="T138" s="130"/>
    </row>
    <row r="139" spans="1:20" s="7" customFormat="1" x14ac:dyDescent="0.25">
      <c r="A139" s="152" t="str">
        <f>IF(J139&lt;&gt;"",1+MAX($A$18:A137),"")</f>
        <v/>
      </c>
      <c r="B139" s="50"/>
      <c r="C139" s="63"/>
      <c r="D139" s="100"/>
      <c r="E139" s="178"/>
      <c r="F139" s="172" t="s">
        <v>719</v>
      </c>
      <c r="G139" s="51"/>
      <c r="H139" s="52"/>
      <c r="I139" s="53"/>
      <c r="J139" s="99"/>
      <c r="K139" s="153"/>
      <c r="L139" s="60"/>
      <c r="M139" s="58"/>
      <c r="N139" s="58"/>
      <c r="O139" s="61"/>
      <c r="P139" s="61"/>
      <c r="Q139" s="62"/>
      <c r="R139" s="155"/>
      <c r="S139" s="131"/>
      <c r="T139" s="130"/>
    </row>
    <row r="140" spans="1:20" s="7" customFormat="1" ht="31.2" x14ac:dyDescent="0.25">
      <c r="A140" s="152">
        <f>IF(J140&lt;&gt;"",1+MAX($A$18:A139),"")</f>
        <v>68</v>
      </c>
      <c r="B140" s="50"/>
      <c r="C140" s="50"/>
      <c r="D140" s="100" t="s">
        <v>35</v>
      </c>
      <c r="E140" s="178" t="s">
        <v>104</v>
      </c>
      <c r="F140" s="175" t="s">
        <v>760</v>
      </c>
      <c r="G140" s="51">
        <f>275*25</f>
        <v>6875</v>
      </c>
      <c r="H140" s="52">
        <f>IF(VLOOKUP(J140,'HOURLY RATES'!B$116:C$124,2,0)=0,$J$3,VLOOKUP(J140,'HOURLY RATES'!B$116:C$124,2,0))</f>
        <v>0.05</v>
      </c>
      <c r="I140" s="53">
        <f t="shared" ref="I140:I144" si="139">(G140*(1+H140))</f>
        <v>7218.75</v>
      </c>
      <c r="J140" s="99" t="s">
        <v>226</v>
      </c>
      <c r="K140" s="153">
        <v>1.7999999999999999E-2</v>
      </c>
      <c r="L140" s="60">
        <f t="shared" ref="L140" si="140">K140*I140</f>
        <v>129.9375</v>
      </c>
      <c r="M140" s="58">
        <f>IF(VLOOKUP(E140,'HOURLY RATES'!C$6:D$105,2,0)=0,$E$3,VLOOKUP(E140,'HOURLY RATES'!C$6:D$105,2,0))</f>
        <v>54</v>
      </c>
      <c r="N140" s="58">
        <f t="shared" ref="N140" si="141">M140*L140</f>
        <v>7016.625</v>
      </c>
      <c r="O140" s="61">
        <v>0.8</v>
      </c>
      <c r="P140" s="61">
        <f t="shared" ref="P140:P144" si="142">O140*I140</f>
        <v>5775</v>
      </c>
      <c r="Q140" s="62">
        <f t="shared" ref="Q140:Q144" si="143">P140+N140</f>
        <v>12791.625</v>
      </c>
      <c r="R140" s="155"/>
      <c r="S140" s="131">
        <f>((((N140*(1+$D$7))+(P140*(1+$D$5+$D$6)))*(1+$D$8)))/I140</f>
        <v>2.2149086399999995</v>
      </c>
      <c r="T140" s="130">
        <f t="shared" ref="T140:T144" si="144">S140*I140</f>
        <v>15988.871744999997</v>
      </c>
    </row>
    <row r="141" spans="1:20" s="7" customFormat="1" x14ac:dyDescent="0.25">
      <c r="A141" s="152"/>
      <c r="B141" s="50"/>
      <c r="C141" s="63"/>
      <c r="D141" s="100"/>
      <c r="E141" s="178"/>
      <c r="F141" s="103"/>
      <c r="G141" s="51"/>
      <c r="H141" s="52"/>
      <c r="I141" s="53"/>
      <c r="J141" s="99"/>
      <c r="K141" s="153"/>
      <c r="L141" s="60"/>
      <c r="M141" s="58"/>
      <c r="N141" s="58"/>
      <c r="O141" s="61"/>
      <c r="P141" s="61"/>
      <c r="Q141" s="62"/>
      <c r="R141" s="155"/>
      <c r="S141" s="131"/>
      <c r="T141" s="130"/>
    </row>
    <row r="142" spans="1:20" s="7" customFormat="1" x14ac:dyDescent="0.25">
      <c r="A142" s="152" t="str">
        <f>IF(J142&lt;&gt;"",1+MAX($A$18:A140),"")</f>
        <v/>
      </c>
      <c r="B142" s="50"/>
      <c r="C142" s="63"/>
      <c r="D142" s="100"/>
      <c r="E142" s="178"/>
      <c r="F142" s="172" t="s">
        <v>223</v>
      </c>
      <c r="G142" s="51"/>
      <c r="H142" s="52"/>
      <c r="I142" s="53"/>
      <c r="J142" s="99"/>
      <c r="K142" s="153"/>
      <c r="L142" s="60"/>
      <c r="M142" s="58"/>
      <c r="N142" s="58"/>
      <c r="O142" s="61"/>
      <c r="P142" s="61"/>
      <c r="Q142" s="62"/>
      <c r="R142" s="155"/>
      <c r="S142" s="131"/>
      <c r="T142" s="130"/>
    </row>
    <row r="143" spans="1:20" s="7" customFormat="1" ht="31.2" x14ac:dyDescent="0.25">
      <c r="A143" s="152">
        <f>IF(J143&lt;&gt;"",1+MAX($A$18:A142),"")</f>
        <v>69</v>
      </c>
      <c r="B143" s="50"/>
      <c r="C143" s="50"/>
      <c r="D143" s="100" t="s">
        <v>35</v>
      </c>
      <c r="E143" s="178" t="s">
        <v>104</v>
      </c>
      <c r="F143" s="175" t="s">
        <v>757</v>
      </c>
      <c r="G143" s="51">
        <f>2646*25</f>
        <v>66150</v>
      </c>
      <c r="H143" s="52">
        <f>IF(VLOOKUP(J143,'HOURLY RATES'!B$116:C$124,2,0)=0,$J$3,VLOOKUP(J143,'HOURLY RATES'!B$116:C$124,2,0))</f>
        <v>0.05</v>
      </c>
      <c r="I143" s="53">
        <f t="shared" si="139"/>
        <v>69457.5</v>
      </c>
      <c r="J143" s="99" t="s">
        <v>224</v>
      </c>
      <c r="K143" s="153">
        <v>0.02</v>
      </c>
      <c r="L143" s="60">
        <f t="shared" ref="L143:L144" si="145">K143*I143</f>
        <v>1389.15</v>
      </c>
      <c r="M143" s="58">
        <f>IF(VLOOKUP(E143,'HOURLY RATES'!C$6:D$105,2,0)=0,$E$3,VLOOKUP(E143,'HOURLY RATES'!C$6:D$105,2,0))</f>
        <v>54</v>
      </c>
      <c r="N143" s="58">
        <f t="shared" ref="N143:N144" si="146">M143*L143</f>
        <v>75014.100000000006</v>
      </c>
      <c r="O143" s="61">
        <v>0.4</v>
      </c>
      <c r="P143" s="61">
        <f t="shared" si="142"/>
        <v>27783</v>
      </c>
      <c r="Q143" s="62">
        <f t="shared" si="143"/>
        <v>102797.1</v>
      </c>
      <c r="R143" s="155"/>
      <c r="S143" s="131">
        <f>((((N143*(1+$D$7))+(P143*(1+$D$5+$D$6)))*(1+$D$8)))/I143</f>
        <v>1.8309463199999998</v>
      </c>
      <c r="T143" s="130">
        <f t="shared" si="144"/>
        <v>127172.95402139999</v>
      </c>
    </row>
    <row r="144" spans="1:20" s="7" customFormat="1" ht="31.2" x14ac:dyDescent="0.25">
      <c r="A144" s="152">
        <f>IF(J144&lt;&gt;"",1+MAX($A$18:A143),"")</f>
        <v>70</v>
      </c>
      <c r="B144" s="50"/>
      <c r="C144" s="50"/>
      <c r="D144" s="100" t="s">
        <v>35</v>
      </c>
      <c r="E144" s="178" t="s">
        <v>104</v>
      </c>
      <c r="F144" s="175" t="s">
        <v>759</v>
      </c>
      <c r="G144" s="51">
        <f>979*25</f>
        <v>24475</v>
      </c>
      <c r="H144" s="52">
        <f>IF(VLOOKUP(J144,'HOURLY RATES'!B$116:C$124,2,0)=0,$J$3,VLOOKUP(J144,'HOURLY RATES'!B$116:C$124,2,0))</f>
        <v>0.05</v>
      </c>
      <c r="I144" s="53">
        <f t="shared" si="139"/>
        <v>25698.75</v>
      </c>
      <c r="J144" s="99" t="s">
        <v>224</v>
      </c>
      <c r="K144" s="153">
        <v>0.02</v>
      </c>
      <c r="L144" s="60">
        <f t="shared" si="145"/>
        <v>513.97500000000002</v>
      </c>
      <c r="M144" s="58">
        <f>IF(VLOOKUP(E144,'HOURLY RATES'!C$6:D$105,2,0)=0,$E$3,VLOOKUP(E144,'HOURLY RATES'!C$6:D$105,2,0))</f>
        <v>54</v>
      </c>
      <c r="N144" s="58">
        <f t="shared" si="146"/>
        <v>27754.65</v>
      </c>
      <c r="O144" s="61">
        <v>0.4</v>
      </c>
      <c r="P144" s="61">
        <f t="shared" si="142"/>
        <v>10279.5</v>
      </c>
      <c r="Q144" s="62">
        <f t="shared" si="143"/>
        <v>38034.15</v>
      </c>
      <c r="R144" s="155"/>
      <c r="S144" s="131">
        <f>((((N144*(1+$D$7))+(P144*(1+$D$5+$D$6)))*(1+$D$8)))/I144</f>
        <v>1.83094632</v>
      </c>
      <c r="T144" s="130">
        <f t="shared" si="144"/>
        <v>47053.0317411</v>
      </c>
    </row>
    <row r="145" spans="1:20" s="7" customFormat="1" x14ac:dyDescent="0.25">
      <c r="A145" s="152"/>
      <c r="B145" s="50"/>
      <c r="C145" s="63"/>
      <c r="D145" s="100"/>
      <c r="E145" s="178"/>
      <c r="F145" s="103"/>
      <c r="G145" s="51"/>
      <c r="H145" s="52"/>
      <c r="I145" s="53"/>
      <c r="J145" s="99"/>
      <c r="K145" s="153"/>
      <c r="L145" s="60"/>
      <c r="M145" s="58"/>
      <c r="N145" s="58"/>
      <c r="O145" s="61"/>
      <c r="P145" s="61"/>
      <c r="Q145" s="62"/>
      <c r="R145" s="155"/>
      <c r="S145" s="131"/>
      <c r="T145" s="130"/>
    </row>
    <row r="146" spans="1:20" s="7" customFormat="1" x14ac:dyDescent="0.25">
      <c r="A146" s="152" t="str">
        <f>IF(J146&lt;&gt;"",1+MAX($A$18:A143),"")</f>
        <v/>
      </c>
      <c r="B146" s="50"/>
      <c r="C146" s="63"/>
      <c r="D146" s="100"/>
      <c r="E146" s="178"/>
      <c r="F146" s="172" t="s">
        <v>723</v>
      </c>
      <c r="G146" s="51"/>
      <c r="H146" s="52"/>
      <c r="I146" s="53"/>
      <c r="J146" s="99"/>
      <c r="K146" s="153"/>
      <c r="L146" s="60"/>
      <c r="M146" s="58"/>
      <c r="N146" s="58"/>
      <c r="O146" s="61"/>
      <c r="P146" s="61"/>
      <c r="Q146" s="62"/>
      <c r="R146" s="155"/>
      <c r="S146" s="131"/>
      <c r="T146" s="130"/>
    </row>
    <row r="147" spans="1:20" s="7" customFormat="1" ht="31.2" x14ac:dyDescent="0.25">
      <c r="A147" s="152">
        <f>IF(J147&lt;&gt;"",1+MAX($A$18:A146),"")</f>
        <v>71</v>
      </c>
      <c r="B147" s="50"/>
      <c r="C147" s="50"/>
      <c r="D147" s="100" t="s">
        <v>35</v>
      </c>
      <c r="E147" s="178" t="s">
        <v>104</v>
      </c>
      <c r="F147" s="175" t="s">
        <v>804</v>
      </c>
      <c r="G147" s="51">
        <f>9*25</f>
        <v>225</v>
      </c>
      <c r="H147" s="52">
        <f>IF(VLOOKUP(J147,'HOURLY RATES'!B$116:C$124,2,0)=0,$J$3,VLOOKUP(J147,'HOURLY RATES'!B$116:C$124,2,0))</f>
        <v>0</v>
      </c>
      <c r="I147" s="53">
        <f t="shared" ref="I147:I149" si="147">(G147*(1+H147))</f>
        <v>225</v>
      </c>
      <c r="J147" s="99" t="s">
        <v>225</v>
      </c>
      <c r="K147" s="153">
        <v>1.23</v>
      </c>
      <c r="L147" s="60">
        <f t="shared" ref="L147:L149" si="148">K147*I147</f>
        <v>276.75</v>
      </c>
      <c r="M147" s="58">
        <f>IF(VLOOKUP(E147,'HOURLY RATES'!C$6:D$105,2,0)=0,$E$3,VLOOKUP(E147,'HOURLY RATES'!C$6:D$105,2,0))</f>
        <v>54</v>
      </c>
      <c r="N147" s="58">
        <f t="shared" ref="N147:N149" si="149">M147*L147</f>
        <v>14944.5</v>
      </c>
      <c r="O147" s="61">
        <v>28</v>
      </c>
      <c r="P147" s="61">
        <f t="shared" ref="P147:P149" si="150">O147*I147</f>
        <v>6300</v>
      </c>
      <c r="Q147" s="62">
        <f t="shared" ref="Q147:Q149" si="151">P147+N147</f>
        <v>21244.5</v>
      </c>
      <c r="R147" s="155"/>
      <c r="S147" s="131">
        <f>((((N147*(1+$D$7))+(P147*(1+$D$5+$D$6)))*(1+$D$8)))/I147</f>
        <v>116.98500239999998</v>
      </c>
      <c r="T147" s="130">
        <f t="shared" ref="T147:T149" si="152">S147*I147</f>
        <v>26321.625539999997</v>
      </c>
    </row>
    <row r="148" spans="1:20" s="7" customFormat="1" ht="31.2" x14ac:dyDescent="0.25">
      <c r="A148" s="152">
        <f>IF(J148&lt;&gt;"",1+MAX($A$18:A147),"")</f>
        <v>72</v>
      </c>
      <c r="B148" s="50"/>
      <c r="C148" s="50"/>
      <c r="D148" s="100" t="s">
        <v>35</v>
      </c>
      <c r="E148" s="178" t="s">
        <v>104</v>
      </c>
      <c r="F148" s="175" t="s">
        <v>805</v>
      </c>
      <c r="G148" s="51">
        <f>120*25</f>
        <v>3000</v>
      </c>
      <c r="H148" s="52">
        <f>IF(VLOOKUP(J148,'HOURLY RATES'!B$116:C$124,2,0)=0,$J$3,VLOOKUP(J148,'HOURLY RATES'!B$116:C$124,2,0))</f>
        <v>0.05</v>
      </c>
      <c r="I148" s="53">
        <f t="shared" si="147"/>
        <v>3150</v>
      </c>
      <c r="J148" s="99" t="s">
        <v>226</v>
      </c>
      <c r="K148" s="153">
        <v>1.7999999999999999E-2</v>
      </c>
      <c r="L148" s="60">
        <f t="shared" si="148"/>
        <v>56.699999999999996</v>
      </c>
      <c r="M148" s="58">
        <f>IF(VLOOKUP(E148,'HOURLY RATES'!C$6:D$105,2,0)=0,$E$3,VLOOKUP(E148,'HOURLY RATES'!C$6:D$105,2,0))</f>
        <v>54</v>
      </c>
      <c r="N148" s="58">
        <f t="shared" si="149"/>
        <v>3061.7999999999997</v>
      </c>
      <c r="O148" s="61">
        <v>0.8</v>
      </c>
      <c r="P148" s="61">
        <f t="shared" si="150"/>
        <v>2520</v>
      </c>
      <c r="Q148" s="62">
        <f t="shared" si="151"/>
        <v>5581.7999999999993</v>
      </c>
      <c r="R148" s="155"/>
      <c r="S148" s="131">
        <f>((((N148*(1+$D$7))+(P148*(1+$D$5+$D$6)))*(1+$D$8)))/I148</f>
        <v>2.2149086399999995</v>
      </c>
      <c r="T148" s="130">
        <f t="shared" si="152"/>
        <v>6976.962215999999</v>
      </c>
    </row>
    <row r="149" spans="1:20" s="7" customFormat="1" ht="31.2" x14ac:dyDescent="0.25">
      <c r="A149" s="152">
        <f>IF(J149&lt;&gt;"",1+MAX($A$18:A148),"")</f>
        <v>73</v>
      </c>
      <c r="B149" s="50"/>
      <c r="C149" s="50"/>
      <c r="D149" s="100" t="s">
        <v>35</v>
      </c>
      <c r="E149" s="178" t="s">
        <v>104</v>
      </c>
      <c r="F149" s="175" t="s">
        <v>806</v>
      </c>
      <c r="G149" s="51">
        <f>240*25</f>
        <v>6000</v>
      </c>
      <c r="H149" s="52">
        <f>IF(VLOOKUP(J149,'HOURLY RATES'!B$116:C$124,2,0)=0,$J$3,VLOOKUP(J149,'HOURLY RATES'!B$116:C$124,2,0))</f>
        <v>0.05</v>
      </c>
      <c r="I149" s="53">
        <f t="shared" si="147"/>
        <v>6300</v>
      </c>
      <c r="J149" s="99" t="s">
        <v>226</v>
      </c>
      <c r="K149" s="153">
        <v>1.7999999999999999E-2</v>
      </c>
      <c r="L149" s="60">
        <f t="shared" si="148"/>
        <v>113.39999999999999</v>
      </c>
      <c r="M149" s="58">
        <f>IF(VLOOKUP(E149,'HOURLY RATES'!C$6:D$105,2,0)=0,$E$3,VLOOKUP(E149,'HOURLY RATES'!C$6:D$105,2,0))</f>
        <v>54</v>
      </c>
      <c r="N149" s="58">
        <f t="shared" si="149"/>
        <v>6123.5999999999995</v>
      </c>
      <c r="O149" s="61">
        <v>0.8</v>
      </c>
      <c r="P149" s="61">
        <f t="shared" si="150"/>
        <v>5040</v>
      </c>
      <c r="Q149" s="62">
        <f t="shared" si="151"/>
        <v>11163.599999999999</v>
      </c>
      <c r="R149" s="155"/>
      <c r="S149" s="131">
        <f>((((N149*(1+$D$7))+(P149*(1+$D$5+$D$6)))*(1+$D$8)))/I149</f>
        <v>2.2149086399999995</v>
      </c>
      <c r="T149" s="130">
        <f t="shared" si="152"/>
        <v>13953.924431999998</v>
      </c>
    </row>
    <row r="150" spans="1:20" s="7" customFormat="1" x14ac:dyDescent="0.25">
      <c r="A150" s="152"/>
      <c r="B150" s="50"/>
      <c r="C150" s="63"/>
      <c r="D150" s="100"/>
      <c r="E150" s="178"/>
      <c r="F150" s="103"/>
      <c r="G150" s="51"/>
      <c r="H150" s="52"/>
      <c r="I150" s="53"/>
      <c r="J150" s="99"/>
      <c r="K150" s="153"/>
      <c r="L150" s="60"/>
      <c r="M150" s="58"/>
      <c r="N150" s="58"/>
      <c r="O150" s="61"/>
      <c r="P150" s="61"/>
      <c r="Q150" s="62"/>
      <c r="R150" s="155"/>
      <c r="S150" s="131"/>
      <c r="T150" s="130"/>
    </row>
    <row r="151" spans="1:20" s="7" customFormat="1" x14ac:dyDescent="0.25">
      <c r="A151" s="152">
        <f>IF(J151&lt;&gt;"",1+MAX($A$18:A149),"")</f>
        <v>74</v>
      </c>
      <c r="B151" s="50"/>
      <c r="C151" s="63"/>
      <c r="D151" s="100"/>
      <c r="E151" s="178"/>
      <c r="F151" s="177" t="s">
        <v>763</v>
      </c>
      <c r="G151" s="108">
        <v>14</v>
      </c>
      <c r="H151" s="52"/>
      <c r="I151" s="53"/>
      <c r="J151" s="99" t="s">
        <v>225</v>
      </c>
      <c r="K151" s="153"/>
      <c r="L151" s="60"/>
      <c r="M151" s="58"/>
      <c r="N151" s="58"/>
      <c r="O151" s="61"/>
      <c r="P151" s="61"/>
      <c r="Q151" s="62"/>
      <c r="R151" s="155"/>
      <c r="S151" s="131"/>
      <c r="T151" s="130"/>
    </row>
    <row r="152" spans="1:20" s="7" customFormat="1" x14ac:dyDescent="0.25">
      <c r="A152" s="152" t="str">
        <f>IF(J152&lt;&gt;"",1+MAX($A$18:A151),"")</f>
        <v/>
      </c>
      <c r="B152" s="50"/>
      <c r="C152" s="63"/>
      <c r="D152" s="100"/>
      <c r="E152" s="178"/>
      <c r="F152" s="172" t="s">
        <v>722</v>
      </c>
      <c r="G152" s="51"/>
      <c r="H152" s="52"/>
      <c r="I152" s="53"/>
      <c r="J152" s="99"/>
      <c r="K152" s="153"/>
      <c r="L152" s="60"/>
      <c r="M152" s="58"/>
      <c r="N152" s="58"/>
      <c r="O152" s="61"/>
      <c r="P152" s="61"/>
      <c r="Q152" s="62"/>
      <c r="R152" s="155"/>
      <c r="S152" s="131"/>
      <c r="T152" s="130"/>
    </row>
    <row r="153" spans="1:20" s="7" customFormat="1" ht="31.2" x14ac:dyDescent="0.25">
      <c r="A153" s="152">
        <f>IF(J153&lt;&gt;"",1+MAX($A$18:A152),"")</f>
        <v>75</v>
      </c>
      <c r="B153" s="50"/>
      <c r="C153" s="50"/>
      <c r="D153" s="100" t="s">
        <v>35</v>
      </c>
      <c r="E153" s="178" t="s">
        <v>104</v>
      </c>
      <c r="F153" s="175" t="s">
        <v>758</v>
      </c>
      <c r="G153" s="51">
        <f>694*14</f>
        <v>9716</v>
      </c>
      <c r="H153" s="52">
        <f>IF(VLOOKUP(J153,'HOURLY RATES'!B$116:C$124,2,0)=0,$J$3,VLOOKUP(J153,'HOURLY RATES'!B$116:C$124,2,0))</f>
        <v>0.05</v>
      </c>
      <c r="I153" s="53">
        <f t="shared" ref="I153" si="153">(G153*(1+H153))</f>
        <v>10201.800000000001</v>
      </c>
      <c r="J153" s="99" t="s">
        <v>224</v>
      </c>
      <c r="K153" s="153">
        <v>2.1999999999999999E-2</v>
      </c>
      <c r="L153" s="60">
        <f t="shared" ref="L153" si="154">K153*I153</f>
        <v>224.43960000000001</v>
      </c>
      <c r="M153" s="58">
        <f>IF(VLOOKUP(E153,'HOURLY RATES'!C$6:D$105,2,0)=0,$E$3,VLOOKUP(E153,'HOURLY RATES'!C$6:D$105,2,0))</f>
        <v>54</v>
      </c>
      <c r="N153" s="58">
        <f t="shared" ref="N153" si="155">M153*L153</f>
        <v>12119.7384</v>
      </c>
      <c r="O153" s="61">
        <v>0.4</v>
      </c>
      <c r="P153" s="61">
        <f t="shared" ref="P153" si="156">O153*I153</f>
        <v>4080.7200000000007</v>
      </c>
      <c r="Q153" s="62">
        <f t="shared" ref="Q153" si="157">P153+N153</f>
        <v>16200.458400000001</v>
      </c>
      <c r="R153" s="155"/>
      <c r="S153" s="131">
        <f>((((N153*(1+$D$7))+(P153*(1+$D$5+$D$6)))*(1+$D$8)))/I153</f>
        <v>1.9624903199999995</v>
      </c>
      <c r="T153" s="130">
        <f t="shared" ref="T153" si="158">S153*I153</f>
        <v>20020.933746575996</v>
      </c>
    </row>
    <row r="154" spans="1:20" s="7" customFormat="1" x14ac:dyDescent="0.25">
      <c r="A154" s="152"/>
      <c r="B154" s="50"/>
      <c r="C154" s="63"/>
      <c r="D154" s="100"/>
      <c r="E154" s="178"/>
      <c r="F154" s="103"/>
      <c r="G154" s="51"/>
      <c r="H154" s="52"/>
      <c r="I154" s="53"/>
      <c r="J154" s="99"/>
      <c r="K154" s="153"/>
      <c r="L154" s="60"/>
      <c r="M154" s="58"/>
      <c r="N154" s="58"/>
      <c r="O154" s="61"/>
      <c r="P154" s="61"/>
      <c r="Q154" s="62"/>
      <c r="R154" s="155"/>
      <c r="S154" s="131"/>
      <c r="T154" s="130"/>
    </row>
    <row r="155" spans="1:20" s="7" customFormat="1" x14ac:dyDescent="0.25">
      <c r="A155" s="152" t="str">
        <f>IF(J155&lt;&gt;"",1+MAX($A$18:A153),"")</f>
        <v/>
      </c>
      <c r="B155" s="50"/>
      <c r="C155" s="63"/>
      <c r="D155" s="100"/>
      <c r="E155" s="178"/>
      <c r="F155" s="172" t="s">
        <v>719</v>
      </c>
      <c r="G155" s="51"/>
      <c r="H155" s="52"/>
      <c r="I155" s="53"/>
      <c r="J155" s="99"/>
      <c r="K155" s="153"/>
      <c r="L155" s="60"/>
      <c r="M155" s="58"/>
      <c r="N155" s="58"/>
      <c r="O155" s="61"/>
      <c r="P155" s="61"/>
      <c r="Q155" s="62"/>
      <c r="R155" s="155"/>
      <c r="S155" s="131"/>
      <c r="T155" s="130"/>
    </row>
    <row r="156" spans="1:20" s="7" customFormat="1" ht="31.2" x14ac:dyDescent="0.25">
      <c r="A156" s="152">
        <f>IF(J156&lt;&gt;"",1+MAX($A$18:A155),"")</f>
        <v>76</v>
      </c>
      <c r="B156" s="50"/>
      <c r="C156" s="50"/>
      <c r="D156" s="100" t="s">
        <v>35</v>
      </c>
      <c r="E156" s="178" t="s">
        <v>104</v>
      </c>
      <c r="F156" s="175" t="s">
        <v>760</v>
      </c>
      <c r="G156" s="51">
        <f>200*14</f>
        <v>2800</v>
      </c>
      <c r="H156" s="52">
        <f>IF(VLOOKUP(J156,'HOURLY RATES'!B$116:C$124,2,0)=0,$J$3,VLOOKUP(J156,'HOURLY RATES'!B$116:C$124,2,0))</f>
        <v>0.05</v>
      </c>
      <c r="I156" s="53">
        <f t="shared" ref="I156:I160" si="159">(G156*(1+H156))</f>
        <v>2940</v>
      </c>
      <c r="J156" s="99" t="s">
        <v>226</v>
      </c>
      <c r="K156" s="153">
        <v>1.7999999999999999E-2</v>
      </c>
      <c r="L156" s="60">
        <f t="shared" ref="L156" si="160">K156*I156</f>
        <v>52.919999999999995</v>
      </c>
      <c r="M156" s="58">
        <f>IF(VLOOKUP(E156,'HOURLY RATES'!C$6:D$105,2,0)=0,$E$3,VLOOKUP(E156,'HOURLY RATES'!C$6:D$105,2,0))</f>
        <v>54</v>
      </c>
      <c r="N156" s="58">
        <f t="shared" ref="N156" si="161">M156*L156</f>
        <v>2857.68</v>
      </c>
      <c r="O156" s="61">
        <v>0.8</v>
      </c>
      <c r="P156" s="61">
        <f t="shared" ref="P156:P160" si="162">O156*I156</f>
        <v>2352</v>
      </c>
      <c r="Q156" s="62">
        <f t="shared" ref="Q156:Q160" si="163">P156+N156</f>
        <v>5209.68</v>
      </c>
      <c r="R156" s="155"/>
      <c r="S156" s="131">
        <f>((((N156*(1+$D$7))+(P156*(1+$D$5+$D$6)))*(1+$D$8)))/I156</f>
        <v>2.2149086399999995</v>
      </c>
      <c r="T156" s="130">
        <f t="shared" ref="T156:T160" si="164">S156*I156</f>
        <v>6511.8314015999986</v>
      </c>
    </row>
    <row r="157" spans="1:20" s="7" customFormat="1" x14ac:dyDescent="0.25">
      <c r="A157" s="152"/>
      <c r="B157" s="50"/>
      <c r="C157" s="63"/>
      <c r="D157" s="100"/>
      <c r="E157" s="178"/>
      <c r="F157" s="103"/>
      <c r="G157" s="51"/>
      <c r="H157" s="52"/>
      <c r="I157" s="53"/>
      <c r="J157" s="99"/>
      <c r="K157" s="153"/>
      <c r="L157" s="60"/>
      <c r="M157" s="58"/>
      <c r="N157" s="58"/>
      <c r="O157" s="61"/>
      <c r="P157" s="61"/>
      <c r="Q157" s="62"/>
      <c r="R157" s="155"/>
      <c r="S157" s="131"/>
      <c r="T157" s="130"/>
    </row>
    <row r="158" spans="1:20" s="7" customFormat="1" x14ac:dyDescent="0.25">
      <c r="A158" s="152" t="str">
        <f>IF(J158&lt;&gt;"",1+MAX($A$18:A156),"")</f>
        <v/>
      </c>
      <c r="B158" s="50"/>
      <c r="C158" s="63"/>
      <c r="D158" s="100"/>
      <c r="E158" s="178"/>
      <c r="F158" s="172" t="s">
        <v>223</v>
      </c>
      <c r="G158" s="51"/>
      <c r="H158" s="52"/>
      <c r="I158" s="53"/>
      <c r="J158" s="99"/>
      <c r="K158" s="153"/>
      <c r="L158" s="60"/>
      <c r="M158" s="58"/>
      <c r="N158" s="58"/>
      <c r="O158" s="61"/>
      <c r="P158" s="61"/>
      <c r="Q158" s="62"/>
      <c r="R158" s="155"/>
      <c r="S158" s="131"/>
      <c r="T158" s="130"/>
    </row>
    <row r="159" spans="1:20" s="7" customFormat="1" ht="31.2" x14ac:dyDescent="0.25">
      <c r="A159" s="152">
        <f>IF(J159&lt;&gt;"",1+MAX($A$18:A158),"")</f>
        <v>77</v>
      </c>
      <c r="B159" s="50"/>
      <c r="C159" s="50"/>
      <c r="D159" s="100" t="s">
        <v>35</v>
      </c>
      <c r="E159" s="178" t="s">
        <v>104</v>
      </c>
      <c r="F159" s="175" t="s">
        <v>757</v>
      </c>
      <c r="G159" s="51">
        <f>1581*14</f>
        <v>22134</v>
      </c>
      <c r="H159" s="52">
        <f>IF(VLOOKUP(J159,'HOURLY RATES'!B$116:C$124,2,0)=0,$J$3,VLOOKUP(J159,'HOURLY RATES'!B$116:C$124,2,0))</f>
        <v>0.05</v>
      </c>
      <c r="I159" s="53">
        <f t="shared" si="159"/>
        <v>23240.7</v>
      </c>
      <c r="J159" s="99" t="s">
        <v>224</v>
      </c>
      <c r="K159" s="153">
        <v>0.02</v>
      </c>
      <c r="L159" s="60">
        <f t="shared" ref="L159:L160" si="165">K159*I159</f>
        <v>464.81400000000002</v>
      </c>
      <c r="M159" s="58">
        <f>IF(VLOOKUP(E159,'HOURLY RATES'!C$6:D$105,2,0)=0,$E$3,VLOOKUP(E159,'HOURLY RATES'!C$6:D$105,2,0))</f>
        <v>54</v>
      </c>
      <c r="N159" s="58">
        <f t="shared" ref="N159:N160" si="166">M159*L159</f>
        <v>25099.956000000002</v>
      </c>
      <c r="O159" s="61">
        <v>0.4</v>
      </c>
      <c r="P159" s="61">
        <f t="shared" si="162"/>
        <v>9296.2800000000007</v>
      </c>
      <c r="Q159" s="62">
        <f t="shared" si="163"/>
        <v>34396.236000000004</v>
      </c>
      <c r="R159" s="155"/>
      <c r="S159" s="131">
        <f>((((N159*(1+$D$7))+(P159*(1+$D$5+$D$6)))*(1+$D$8)))/I159</f>
        <v>1.83094632</v>
      </c>
      <c r="T159" s="130">
        <f t="shared" si="164"/>
        <v>42552.474139224003</v>
      </c>
    </row>
    <row r="160" spans="1:20" s="7" customFormat="1" ht="31.2" x14ac:dyDescent="0.25">
      <c r="A160" s="152">
        <f>IF(J160&lt;&gt;"",1+MAX($A$18:A159),"")</f>
        <v>78</v>
      </c>
      <c r="B160" s="50"/>
      <c r="C160" s="50"/>
      <c r="D160" s="100" t="s">
        <v>35</v>
      </c>
      <c r="E160" s="178" t="s">
        <v>104</v>
      </c>
      <c r="F160" s="175" t="s">
        <v>759</v>
      </c>
      <c r="G160" s="51">
        <f>187*14</f>
        <v>2618</v>
      </c>
      <c r="H160" s="52">
        <f>IF(VLOOKUP(J160,'HOURLY RATES'!B$116:C$124,2,0)=0,$J$3,VLOOKUP(J160,'HOURLY RATES'!B$116:C$124,2,0))</f>
        <v>0.05</v>
      </c>
      <c r="I160" s="53">
        <f t="shared" si="159"/>
        <v>2748.9</v>
      </c>
      <c r="J160" s="99" t="s">
        <v>224</v>
      </c>
      <c r="K160" s="153">
        <v>0.02</v>
      </c>
      <c r="L160" s="60">
        <f t="shared" si="165"/>
        <v>54.978000000000002</v>
      </c>
      <c r="M160" s="58">
        <f>IF(VLOOKUP(E160,'HOURLY RATES'!C$6:D$105,2,0)=0,$E$3,VLOOKUP(E160,'HOURLY RATES'!C$6:D$105,2,0))</f>
        <v>54</v>
      </c>
      <c r="N160" s="58">
        <f t="shared" si="166"/>
        <v>2968.8119999999999</v>
      </c>
      <c r="O160" s="61">
        <v>0.4</v>
      </c>
      <c r="P160" s="61">
        <f t="shared" si="162"/>
        <v>1099.5600000000002</v>
      </c>
      <c r="Q160" s="62">
        <f t="shared" si="163"/>
        <v>4068.3720000000003</v>
      </c>
      <c r="R160" s="155"/>
      <c r="S160" s="131">
        <f>((((N160*(1+$D$7))+(P160*(1+$D$5+$D$6)))*(1+$D$8)))/I160</f>
        <v>1.8309463199999998</v>
      </c>
      <c r="T160" s="130">
        <f t="shared" si="164"/>
        <v>5033.0883390479994</v>
      </c>
    </row>
    <row r="161" spans="1:20" s="7" customFormat="1" x14ac:dyDescent="0.25">
      <c r="A161" s="152"/>
      <c r="B161" s="50"/>
      <c r="C161" s="63"/>
      <c r="D161" s="100"/>
      <c r="E161" s="178"/>
      <c r="F161" s="103"/>
      <c r="G161" s="51"/>
      <c r="H161" s="52"/>
      <c r="I161" s="53"/>
      <c r="J161" s="99"/>
      <c r="K161" s="153"/>
      <c r="L161" s="60"/>
      <c r="M161" s="58"/>
      <c r="N161" s="58"/>
      <c r="O161" s="61"/>
      <c r="P161" s="61"/>
      <c r="Q161" s="62"/>
      <c r="R161" s="155"/>
      <c r="S161" s="131"/>
      <c r="T161" s="130"/>
    </row>
    <row r="162" spans="1:20" s="7" customFormat="1" x14ac:dyDescent="0.25">
      <c r="A162" s="152" t="str">
        <f>IF(J162&lt;&gt;"",1+MAX($A$18:A159),"")</f>
        <v/>
      </c>
      <c r="B162" s="50"/>
      <c r="C162" s="63"/>
      <c r="D162" s="100"/>
      <c r="E162" s="178"/>
      <c r="F162" s="172" t="s">
        <v>723</v>
      </c>
      <c r="G162" s="51"/>
      <c r="H162" s="52"/>
      <c r="I162" s="53"/>
      <c r="J162" s="99"/>
      <c r="K162" s="153"/>
      <c r="L162" s="60"/>
      <c r="M162" s="58"/>
      <c r="N162" s="58"/>
      <c r="O162" s="61"/>
      <c r="P162" s="61"/>
      <c r="Q162" s="62"/>
      <c r="R162" s="155"/>
      <c r="S162" s="131"/>
      <c r="T162" s="130"/>
    </row>
    <row r="163" spans="1:20" s="7" customFormat="1" ht="31.2" x14ac:dyDescent="0.25">
      <c r="A163" s="152">
        <f>IF(J163&lt;&gt;"",1+MAX($A$18:A162),"")</f>
        <v>79</v>
      </c>
      <c r="B163" s="50"/>
      <c r="C163" s="50"/>
      <c r="D163" s="100" t="s">
        <v>35</v>
      </c>
      <c r="E163" s="178" t="s">
        <v>104</v>
      </c>
      <c r="F163" s="175" t="s">
        <v>804</v>
      </c>
      <c r="G163" s="51">
        <f>8*14</f>
        <v>112</v>
      </c>
      <c r="H163" s="52">
        <f>IF(VLOOKUP(J163,'HOURLY RATES'!B$116:C$124,2,0)=0,$J$3,VLOOKUP(J163,'HOURLY RATES'!B$116:C$124,2,0))</f>
        <v>0</v>
      </c>
      <c r="I163" s="53">
        <f t="shared" ref="I163:I165" si="167">(G163*(1+H163))</f>
        <v>112</v>
      </c>
      <c r="J163" s="99" t="s">
        <v>225</v>
      </c>
      <c r="K163" s="153">
        <v>1.23</v>
      </c>
      <c r="L163" s="60">
        <f t="shared" ref="L163:L165" si="168">K163*I163</f>
        <v>137.76</v>
      </c>
      <c r="M163" s="58">
        <f>IF(VLOOKUP(E163,'HOURLY RATES'!C$6:D$105,2,0)=0,$E$3,VLOOKUP(E163,'HOURLY RATES'!C$6:D$105,2,0))</f>
        <v>54</v>
      </c>
      <c r="N163" s="58">
        <f t="shared" ref="N163:N165" si="169">M163*L163</f>
        <v>7439.0399999999991</v>
      </c>
      <c r="O163" s="61">
        <v>28</v>
      </c>
      <c r="P163" s="61">
        <f t="shared" ref="P163:P165" si="170">O163*I163</f>
        <v>3136</v>
      </c>
      <c r="Q163" s="62">
        <f t="shared" ref="Q163:Q165" si="171">P163+N163</f>
        <v>10575.039999999999</v>
      </c>
      <c r="R163" s="155"/>
      <c r="S163" s="131">
        <f>((((N163*(1+$D$7))+(P163*(1+$D$5+$D$6)))*(1+$D$8)))/I163</f>
        <v>116.98500239999997</v>
      </c>
      <c r="T163" s="130">
        <f t="shared" ref="T163:T165" si="172">S163*I163</f>
        <v>13102.320268799996</v>
      </c>
    </row>
    <row r="164" spans="1:20" s="7" customFormat="1" ht="31.2" x14ac:dyDescent="0.25">
      <c r="A164" s="152">
        <f>IF(J164&lt;&gt;"",1+MAX($A$18:A163),"")</f>
        <v>80</v>
      </c>
      <c r="B164" s="50"/>
      <c r="C164" s="50"/>
      <c r="D164" s="100" t="s">
        <v>35</v>
      </c>
      <c r="E164" s="178" t="s">
        <v>104</v>
      </c>
      <c r="F164" s="175" t="s">
        <v>805</v>
      </c>
      <c r="G164" s="51">
        <f>134*14</f>
        <v>1876</v>
      </c>
      <c r="H164" s="52">
        <f>IF(VLOOKUP(J164,'HOURLY RATES'!B$116:C$124,2,0)=0,$J$3,VLOOKUP(J164,'HOURLY RATES'!B$116:C$124,2,0))</f>
        <v>0.05</v>
      </c>
      <c r="I164" s="53">
        <f t="shared" si="167"/>
        <v>1969.8000000000002</v>
      </c>
      <c r="J164" s="99" t="s">
        <v>226</v>
      </c>
      <c r="K164" s="153">
        <v>1.7999999999999999E-2</v>
      </c>
      <c r="L164" s="60">
        <f t="shared" si="168"/>
        <v>35.456400000000002</v>
      </c>
      <c r="M164" s="58">
        <f>IF(VLOOKUP(E164,'HOURLY RATES'!C$6:D$105,2,0)=0,$E$3,VLOOKUP(E164,'HOURLY RATES'!C$6:D$105,2,0))</f>
        <v>54</v>
      </c>
      <c r="N164" s="58">
        <f t="shared" si="169"/>
        <v>1914.6456000000001</v>
      </c>
      <c r="O164" s="61">
        <v>0.8</v>
      </c>
      <c r="P164" s="61">
        <f t="shared" si="170"/>
        <v>1575.8400000000001</v>
      </c>
      <c r="Q164" s="62">
        <f t="shared" si="171"/>
        <v>3490.4856</v>
      </c>
      <c r="R164" s="155"/>
      <c r="S164" s="131">
        <f>((((N164*(1+$D$7))+(P164*(1+$D$5+$D$6)))*(1+$D$8)))/I164</f>
        <v>2.2149086399999995</v>
      </c>
      <c r="T164" s="130">
        <f t="shared" si="172"/>
        <v>4362.9270390719994</v>
      </c>
    </row>
    <row r="165" spans="1:20" s="7" customFormat="1" ht="31.2" x14ac:dyDescent="0.25">
      <c r="A165" s="152">
        <f>IF(J165&lt;&gt;"",1+MAX($A$18:A164),"")</f>
        <v>81</v>
      </c>
      <c r="B165" s="50"/>
      <c r="C165" s="50"/>
      <c r="D165" s="100" t="s">
        <v>35</v>
      </c>
      <c r="E165" s="178" t="s">
        <v>104</v>
      </c>
      <c r="F165" s="175" t="s">
        <v>806</v>
      </c>
      <c r="G165" s="51">
        <f>268*14</f>
        <v>3752</v>
      </c>
      <c r="H165" s="52">
        <f>IF(VLOOKUP(J165,'HOURLY RATES'!B$116:C$124,2,0)=0,$J$3,VLOOKUP(J165,'HOURLY RATES'!B$116:C$124,2,0))</f>
        <v>0.05</v>
      </c>
      <c r="I165" s="53">
        <f t="shared" si="167"/>
        <v>3939.6000000000004</v>
      </c>
      <c r="J165" s="99" t="s">
        <v>226</v>
      </c>
      <c r="K165" s="153">
        <v>1.7999999999999999E-2</v>
      </c>
      <c r="L165" s="60">
        <f t="shared" si="168"/>
        <v>70.912800000000004</v>
      </c>
      <c r="M165" s="58">
        <f>IF(VLOOKUP(E165,'HOURLY RATES'!C$6:D$105,2,0)=0,$E$3,VLOOKUP(E165,'HOURLY RATES'!C$6:D$105,2,0))</f>
        <v>54</v>
      </c>
      <c r="N165" s="58">
        <f t="shared" si="169"/>
        <v>3829.2912000000001</v>
      </c>
      <c r="O165" s="61">
        <v>0.8</v>
      </c>
      <c r="P165" s="61">
        <f t="shared" si="170"/>
        <v>3151.6800000000003</v>
      </c>
      <c r="Q165" s="62">
        <f t="shared" si="171"/>
        <v>6980.9712</v>
      </c>
      <c r="R165" s="155"/>
      <c r="S165" s="131">
        <f>((((N165*(1+$D$7))+(P165*(1+$D$5+$D$6)))*(1+$D$8)))/I165</f>
        <v>2.2149086399999995</v>
      </c>
      <c r="T165" s="130">
        <f t="shared" si="172"/>
        <v>8725.8540781439988</v>
      </c>
    </row>
    <row r="166" spans="1:20" s="7" customFormat="1" x14ac:dyDescent="0.25">
      <c r="A166" s="152"/>
      <c r="B166" s="50"/>
      <c r="C166" s="63"/>
      <c r="D166" s="100"/>
      <c r="E166" s="178"/>
      <c r="F166" s="103"/>
      <c r="G166" s="51"/>
      <c r="H166" s="52"/>
      <c r="I166" s="53"/>
      <c r="J166" s="99"/>
      <c r="K166" s="153"/>
      <c r="L166" s="60"/>
      <c r="M166" s="58"/>
      <c r="N166" s="58"/>
      <c r="O166" s="61"/>
      <c r="P166" s="61"/>
      <c r="Q166" s="62"/>
      <c r="R166" s="155"/>
      <c r="S166" s="131"/>
      <c r="T166" s="130"/>
    </row>
    <row r="167" spans="1:20" s="7" customFormat="1" x14ac:dyDescent="0.25">
      <c r="A167" s="152">
        <f>IF(J167&lt;&gt;"",1+MAX($A$18:A165),"")</f>
        <v>82</v>
      </c>
      <c r="B167" s="50"/>
      <c r="C167" s="63"/>
      <c r="D167" s="100"/>
      <c r="E167" s="178"/>
      <c r="F167" s="177" t="s">
        <v>753</v>
      </c>
      <c r="G167" s="108">
        <v>3</v>
      </c>
      <c r="H167" s="52"/>
      <c r="I167" s="53"/>
      <c r="J167" s="99" t="s">
        <v>225</v>
      </c>
      <c r="K167" s="153"/>
      <c r="L167" s="60"/>
      <c r="M167" s="58"/>
      <c r="N167" s="58"/>
      <c r="O167" s="61"/>
      <c r="P167" s="61"/>
      <c r="Q167" s="62"/>
      <c r="R167" s="155"/>
      <c r="S167" s="131"/>
      <c r="T167" s="130"/>
    </row>
    <row r="168" spans="1:20" s="7" customFormat="1" x14ac:dyDescent="0.25">
      <c r="A168" s="152" t="str">
        <f>IF(J168&lt;&gt;"",1+MAX($A$18:A167),"")</f>
        <v/>
      </c>
      <c r="B168" s="50"/>
      <c r="C168" s="63"/>
      <c r="D168" s="100"/>
      <c r="E168" s="178"/>
      <c r="F168" s="172" t="s">
        <v>722</v>
      </c>
      <c r="G168" s="51"/>
      <c r="H168" s="52"/>
      <c r="I168" s="53"/>
      <c r="J168" s="99"/>
      <c r="K168" s="153"/>
      <c r="L168" s="60"/>
      <c r="M168" s="58"/>
      <c r="N168" s="58"/>
      <c r="O168" s="61"/>
      <c r="P168" s="61"/>
      <c r="Q168" s="62"/>
      <c r="R168" s="155"/>
      <c r="S168" s="131"/>
      <c r="T168" s="130"/>
    </row>
    <row r="169" spans="1:20" s="7" customFormat="1" ht="31.2" x14ac:dyDescent="0.25">
      <c r="A169" s="152">
        <f>IF(J169&lt;&gt;"",1+MAX($A$18:A168),"")</f>
        <v>83</v>
      </c>
      <c r="B169" s="50"/>
      <c r="C169" s="50"/>
      <c r="D169" s="100" t="s">
        <v>35</v>
      </c>
      <c r="E169" s="178" t="s">
        <v>104</v>
      </c>
      <c r="F169" s="175" t="s">
        <v>758</v>
      </c>
      <c r="G169" s="51">
        <f>2173*3</f>
        <v>6519</v>
      </c>
      <c r="H169" s="52">
        <f>IF(VLOOKUP(J169,'HOURLY RATES'!B$116:C$124,2,0)=0,$J$3,VLOOKUP(J169,'HOURLY RATES'!B$116:C$124,2,0))</f>
        <v>0.05</v>
      </c>
      <c r="I169" s="53">
        <f t="shared" ref="I169" si="173">(G169*(1+H169))</f>
        <v>6844.9500000000007</v>
      </c>
      <c r="J169" s="99" t="s">
        <v>224</v>
      </c>
      <c r="K169" s="153">
        <v>2.1999999999999999E-2</v>
      </c>
      <c r="L169" s="60">
        <f t="shared" ref="L169" si="174">K169*I169</f>
        <v>150.5889</v>
      </c>
      <c r="M169" s="58">
        <f>IF(VLOOKUP(E169,'HOURLY RATES'!C$6:D$105,2,0)=0,$E$3,VLOOKUP(E169,'HOURLY RATES'!C$6:D$105,2,0))</f>
        <v>54</v>
      </c>
      <c r="N169" s="58">
        <f t="shared" ref="N169" si="175">M169*L169</f>
        <v>8131.8005999999996</v>
      </c>
      <c r="O169" s="61">
        <v>0.4</v>
      </c>
      <c r="P169" s="61">
        <f t="shared" ref="P169" si="176">O169*I169</f>
        <v>2737.9800000000005</v>
      </c>
      <c r="Q169" s="62">
        <f t="shared" ref="Q169" si="177">P169+N169</f>
        <v>10869.7806</v>
      </c>
      <c r="R169" s="155"/>
      <c r="S169" s="131">
        <f>((((N169*(1+$D$7))+(P169*(1+$D$5+$D$6)))*(1+$D$8)))/I169</f>
        <v>1.9624903199999997</v>
      </c>
      <c r="T169" s="130">
        <f t="shared" ref="T169" si="178">S169*I169</f>
        <v>13433.148115884</v>
      </c>
    </row>
    <row r="170" spans="1:20" s="7" customFormat="1" x14ac:dyDescent="0.25">
      <c r="A170" s="152"/>
      <c r="B170" s="50"/>
      <c r="C170" s="63"/>
      <c r="D170" s="100"/>
      <c r="E170" s="178"/>
      <c r="F170" s="103"/>
      <c r="G170" s="51"/>
      <c r="H170" s="52"/>
      <c r="I170" s="53"/>
      <c r="J170" s="99"/>
      <c r="K170" s="153"/>
      <c r="L170" s="60"/>
      <c r="M170" s="58"/>
      <c r="N170" s="58"/>
      <c r="O170" s="61"/>
      <c r="P170" s="61"/>
      <c r="Q170" s="62"/>
      <c r="R170" s="155"/>
      <c r="S170" s="131"/>
      <c r="T170" s="130"/>
    </row>
    <row r="171" spans="1:20" s="7" customFormat="1" x14ac:dyDescent="0.25">
      <c r="A171" s="152" t="str">
        <f>IF(J171&lt;&gt;"",1+MAX($A$18:A169),"")</f>
        <v/>
      </c>
      <c r="B171" s="50"/>
      <c r="C171" s="63"/>
      <c r="D171" s="100"/>
      <c r="E171" s="178"/>
      <c r="F171" s="172" t="s">
        <v>719</v>
      </c>
      <c r="G171" s="51"/>
      <c r="H171" s="52"/>
      <c r="I171" s="53"/>
      <c r="J171" s="99"/>
      <c r="K171" s="153"/>
      <c r="L171" s="60"/>
      <c r="M171" s="58"/>
      <c r="N171" s="58"/>
      <c r="O171" s="61"/>
      <c r="P171" s="61"/>
      <c r="Q171" s="62"/>
      <c r="R171" s="155"/>
      <c r="S171" s="131"/>
      <c r="T171" s="130"/>
    </row>
    <row r="172" spans="1:20" s="7" customFormat="1" ht="31.2" x14ac:dyDescent="0.25">
      <c r="A172" s="152">
        <f>IF(J172&lt;&gt;"",1+MAX($A$18:A171),"")</f>
        <v>84</v>
      </c>
      <c r="B172" s="50"/>
      <c r="C172" s="50"/>
      <c r="D172" s="100" t="s">
        <v>35</v>
      </c>
      <c r="E172" s="178" t="s">
        <v>104</v>
      </c>
      <c r="F172" s="175" t="s">
        <v>760</v>
      </c>
      <c r="G172" s="51">
        <f>550*3</f>
        <v>1650</v>
      </c>
      <c r="H172" s="52">
        <f>IF(VLOOKUP(J172,'HOURLY RATES'!B$116:C$124,2,0)=0,$J$3,VLOOKUP(J172,'HOURLY RATES'!B$116:C$124,2,0))</f>
        <v>0.05</v>
      </c>
      <c r="I172" s="53">
        <f t="shared" ref="I172:I176" si="179">(G172*(1+H172))</f>
        <v>1732.5</v>
      </c>
      <c r="J172" s="99" t="s">
        <v>226</v>
      </c>
      <c r="K172" s="153">
        <v>1.7999999999999999E-2</v>
      </c>
      <c r="L172" s="60">
        <f t="shared" ref="L172" si="180">K172*I172</f>
        <v>31.184999999999999</v>
      </c>
      <c r="M172" s="58">
        <f>IF(VLOOKUP(E172,'HOURLY RATES'!C$6:D$105,2,0)=0,$E$3,VLOOKUP(E172,'HOURLY RATES'!C$6:D$105,2,0))</f>
        <v>54</v>
      </c>
      <c r="N172" s="58">
        <f t="shared" ref="N172" si="181">M172*L172</f>
        <v>1683.99</v>
      </c>
      <c r="O172" s="61">
        <v>0.8</v>
      </c>
      <c r="P172" s="61">
        <f t="shared" ref="P172:P176" si="182">O172*I172</f>
        <v>1386</v>
      </c>
      <c r="Q172" s="62">
        <f t="shared" ref="Q172:Q176" si="183">P172+N172</f>
        <v>3069.99</v>
      </c>
      <c r="R172" s="155"/>
      <c r="S172" s="131">
        <f>((((N172*(1+$D$7))+(P172*(1+$D$5+$D$6)))*(1+$D$8)))/I172</f>
        <v>2.2149086399999995</v>
      </c>
      <c r="T172" s="130">
        <f t="shared" ref="T172:T176" si="184">S172*I172</f>
        <v>3837.3292187999991</v>
      </c>
    </row>
    <row r="173" spans="1:20" s="7" customFormat="1" x14ac:dyDescent="0.25">
      <c r="A173" s="152"/>
      <c r="B173" s="50"/>
      <c r="C173" s="63"/>
      <c r="D173" s="100"/>
      <c r="E173" s="178"/>
      <c r="F173" s="103"/>
      <c r="G173" s="51"/>
      <c r="H173" s="52"/>
      <c r="I173" s="53"/>
      <c r="J173" s="99"/>
      <c r="K173" s="153"/>
      <c r="L173" s="60"/>
      <c r="M173" s="58"/>
      <c r="N173" s="58"/>
      <c r="O173" s="61"/>
      <c r="P173" s="61"/>
      <c r="Q173" s="62"/>
      <c r="R173" s="155"/>
      <c r="S173" s="131"/>
      <c r="T173" s="130"/>
    </row>
    <row r="174" spans="1:20" s="7" customFormat="1" x14ac:dyDescent="0.25">
      <c r="A174" s="152" t="str">
        <f>IF(J174&lt;&gt;"",1+MAX($A$18:A172),"")</f>
        <v/>
      </c>
      <c r="B174" s="50"/>
      <c r="C174" s="63"/>
      <c r="D174" s="100"/>
      <c r="E174" s="178"/>
      <c r="F174" s="172" t="s">
        <v>223</v>
      </c>
      <c r="G174" s="51"/>
      <c r="H174" s="52"/>
      <c r="I174" s="53"/>
      <c r="J174" s="99"/>
      <c r="K174" s="153"/>
      <c r="L174" s="60"/>
      <c r="M174" s="58"/>
      <c r="N174" s="58"/>
      <c r="O174" s="61"/>
      <c r="P174" s="61"/>
      <c r="Q174" s="62"/>
      <c r="R174" s="155"/>
      <c r="S174" s="131"/>
      <c r="T174" s="130"/>
    </row>
    <row r="175" spans="1:20" s="7" customFormat="1" ht="31.2" x14ac:dyDescent="0.25">
      <c r="A175" s="152">
        <f>IF(J175&lt;&gt;"",1+MAX($A$18:A174),"")</f>
        <v>85</v>
      </c>
      <c r="B175" s="50"/>
      <c r="C175" s="50"/>
      <c r="D175" s="100" t="s">
        <v>35</v>
      </c>
      <c r="E175" s="178" t="s">
        <v>104</v>
      </c>
      <c r="F175" s="175" t="s">
        <v>757</v>
      </c>
      <c r="G175" s="51">
        <f>4741*3</f>
        <v>14223</v>
      </c>
      <c r="H175" s="52">
        <f>IF(VLOOKUP(J175,'HOURLY RATES'!B$116:C$124,2,0)=0,$J$3,VLOOKUP(J175,'HOURLY RATES'!B$116:C$124,2,0))</f>
        <v>0.05</v>
      </c>
      <c r="I175" s="53">
        <f t="shared" si="179"/>
        <v>14934.150000000001</v>
      </c>
      <c r="J175" s="99" t="s">
        <v>224</v>
      </c>
      <c r="K175" s="153">
        <v>0.02</v>
      </c>
      <c r="L175" s="60">
        <f t="shared" ref="L175:L176" si="185">K175*I175</f>
        <v>298.68300000000005</v>
      </c>
      <c r="M175" s="58">
        <f>IF(VLOOKUP(E175,'HOURLY RATES'!C$6:D$105,2,0)=0,$E$3,VLOOKUP(E175,'HOURLY RATES'!C$6:D$105,2,0))</f>
        <v>54</v>
      </c>
      <c r="N175" s="58">
        <f t="shared" ref="N175:N176" si="186">M175*L175</f>
        <v>16128.882000000003</v>
      </c>
      <c r="O175" s="61">
        <v>0.4</v>
      </c>
      <c r="P175" s="61">
        <f t="shared" si="182"/>
        <v>5973.6600000000008</v>
      </c>
      <c r="Q175" s="62">
        <f t="shared" si="183"/>
        <v>22102.542000000005</v>
      </c>
      <c r="R175" s="155"/>
      <c r="S175" s="131">
        <f>((((N175*(1+$D$7))+(P175*(1+$D$5+$D$6)))*(1+$D$8)))/I175</f>
        <v>1.83094632</v>
      </c>
      <c r="T175" s="130">
        <f t="shared" si="184"/>
        <v>27343.626984828003</v>
      </c>
    </row>
    <row r="176" spans="1:20" s="7" customFormat="1" ht="31.2" x14ac:dyDescent="0.25">
      <c r="A176" s="152">
        <f>IF(J176&lt;&gt;"",1+MAX($A$18:A175),"")</f>
        <v>86</v>
      </c>
      <c r="B176" s="50"/>
      <c r="C176" s="50"/>
      <c r="D176" s="100" t="s">
        <v>35</v>
      </c>
      <c r="E176" s="178" t="s">
        <v>104</v>
      </c>
      <c r="F176" s="175" t="s">
        <v>759</v>
      </c>
      <c r="G176" s="51">
        <f>800*3</f>
        <v>2400</v>
      </c>
      <c r="H176" s="52">
        <f>IF(VLOOKUP(J176,'HOURLY RATES'!B$116:C$124,2,0)=0,$J$3,VLOOKUP(J176,'HOURLY RATES'!B$116:C$124,2,0))</f>
        <v>0.05</v>
      </c>
      <c r="I176" s="53">
        <f t="shared" si="179"/>
        <v>2520</v>
      </c>
      <c r="J176" s="99" t="s">
        <v>224</v>
      </c>
      <c r="K176" s="153">
        <v>0.02</v>
      </c>
      <c r="L176" s="60">
        <f t="shared" si="185"/>
        <v>50.4</v>
      </c>
      <c r="M176" s="58">
        <f>IF(VLOOKUP(E176,'HOURLY RATES'!C$6:D$105,2,0)=0,$E$3,VLOOKUP(E176,'HOURLY RATES'!C$6:D$105,2,0))</f>
        <v>54</v>
      </c>
      <c r="N176" s="58">
        <f t="shared" si="186"/>
        <v>2721.6</v>
      </c>
      <c r="O176" s="61">
        <v>0.4</v>
      </c>
      <c r="P176" s="61">
        <f t="shared" si="182"/>
        <v>1008</v>
      </c>
      <c r="Q176" s="62">
        <f t="shared" si="183"/>
        <v>3729.6</v>
      </c>
      <c r="R176" s="155"/>
      <c r="S176" s="131">
        <f>((((N176*(1+$D$7))+(P176*(1+$D$5+$D$6)))*(1+$D$8)))/I176</f>
        <v>1.8309463199999996</v>
      </c>
      <c r="T176" s="130">
        <f t="shared" si="184"/>
        <v>4613.9847263999991</v>
      </c>
    </row>
    <row r="177" spans="1:20" s="7" customFormat="1" x14ac:dyDescent="0.25">
      <c r="A177" s="276"/>
      <c r="B177" s="277"/>
      <c r="C177" s="277"/>
      <c r="D177" s="278"/>
      <c r="E177" s="277"/>
      <c r="F177" s="103"/>
      <c r="G177" s="279"/>
      <c r="H177" s="280"/>
      <c r="I177" s="281"/>
      <c r="J177" s="282"/>
      <c r="K177" s="283"/>
      <c r="L177" s="284"/>
      <c r="M177" s="285"/>
      <c r="N177" s="285"/>
      <c r="O177" s="286"/>
      <c r="P177" s="286"/>
      <c r="Q177" s="287"/>
      <c r="R177" s="288"/>
      <c r="S177" s="289"/>
      <c r="T177" s="290"/>
    </row>
    <row r="178" spans="1:20" s="7" customFormat="1" x14ac:dyDescent="0.25">
      <c r="A178" s="152" t="str">
        <f>IF(J178&lt;&gt;"",1+MAX($A$18:A175),"")</f>
        <v/>
      </c>
      <c r="B178" s="50"/>
      <c r="C178" s="63"/>
      <c r="D178" s="100"/>
      <c r="E178" s="178"/>
      <c r="F178" s="172" t="s">
        <v>723</v>
      </c>
      <c r="G178" s="51"/>
      <c r="H178" s="52"/>
      <c r="I178" s="53"/>
      <c r="J178" s="99"/>
      <c r="K178" s="153"/>
      <c r="L178" s="60"/>
      <c r="M178" s="58"/>
      <c r="N178" s="58"/>
      <c r="O178" s="61"/>
      <c r="P178" s="61"/>
      <c r="Q178" s="62"/>
      <c r="R178" s="155"/>
      <c r="S178" s="131"/>
      <c r="T178" s="130"/>
    </row>
    <row r="179" spans="1:20" s="7" customFormat="1" ht="31.2" x14ac:dyDescent="0.25">
      <c r="A179" s="152">
        <f>IF(J179&lt;&gt;"",1+MAX($A$18:A178),"")</f>
        <v>87</v>
      </c>
      <c r="B179" s="50"/>
      <c r="C179" s="50"/>
      <c r="D179" s="100" t="s">
        <v>35</v>
      </c>
      <c r="E179" s="178" t="s">
        <v>104</v>
      </c>
      <c r="F179" s="175" t="s">
        <v>804</v>
      </c>
      <c r="G179" s="51">
        <f>13*3</f>
        <v>39</v>
      </c>
      <c r="H179" s="52">
        <f>IF(VLOOKUP(J179,'HOURLY RATES'!B$116:C$124,2,0)=0,$J$3,VLOOKUP(J179,'HOURLY RATES'!B$116:C$124,2,0))</f>
        <v>0</v>
      </c>
      <c r="I179" s="53">
        <f t="shared" ref="I179:I181" si="187">(G179*(1+H179))</f>
        <v>39</v>
      </c>
      <c r="J179" s="99" t="s">
        <v>225</v>
      </c>
      <c r="K179" s="153">
        <v>1.23</v>
      </c>
      <c r="L179" s="60">
        <f t="shared" ref="L179:L181" si="188">K179*I179</f>
        <v>47.97</v>
      </c>
      <c r="M179" s="58">
        <f>IF(VLOOKUP(E179,'HOURLY RATES'!C$6:D$105,2,0)=0,$E$3,VLOOKUP(E179,'HOURLY RATES'!C$6:D$105,2,0))</f>
        <v>54</v>
      </c>
      <c r="N179" s="58">
        <f t="shared" ref="N179:N181" si="189">M179*L179</f>
        <v>2590.38</v>
      </c>
      <c r="O179" s="61">
        <v>28</v>
      </c>
      <c r="P179" s="61">
        <f t="shared" ref="P179:P181" si="190">O179*I179</f>
        <v>1092</v>
      </c>
      <c r="Q179" s="62">
        <f t="shared" ref="Q179:Q181" si="191">P179+N179</f>
        <v>3682.38</v>
      </c>
      <c r="R179" s="155"/>
      <c r="S179" s="131">
        <f>((((N179*(1+$D$7))+(P179*(1+$D$5+$D$6)))*(1+$D$8)))/I179</f>
        <v>116.98500239999998</v>
      </c>
      <c r="T179" s="130">
        <f t="shared" ref="T179:T181" si="192">S179*I179</f>
        <v>4562.4150935999996</v>
      </c>
    </row>
    <row r="180" spans="1:20" s="7" customFormat="1" ht="31.2" x14ac:dyDescent="0.25">
      <c r="A180" s="152">
        <f>IF(J180&lt;&gt;"",1+MAX($A$18:A179),"")</f>
        <v>88</v>
      </c>
      <c r="B180" s="50"/>
      <c r="C180" s="50"/>
      <c r="D180" s="100" t="s">
        <v>35</v>
      </c>
      <c r="E180" s="178" t="s">
        <v>104</v>
      </c>
      <c r="F180" s="175" t="s">
        <v>805</v>
      </c>
      <c r="G180" s="51">
        <f>218*3</f>
        <v>654</v>
      </c>
      <c r="H180" s="52">
        <f>IF(VLOOKUP(J180,'HOURLY RATES'!B$116:C$124,2,0)=0,$J$3,VLOOKUP(J180,'HOURLY RATES'!B$116:C$124,2,0))</f>
        <v>0.05</v>
      </c>
      <c r="I180" s="53">
        <f t="shared" si="187"/>
        <v>686.7</v>
      </c>
      <c r="J180" s="99" t="s">
        <v>226</v>
      </c>
      <c r="K180" s="153">
        <v>1.7999999999999999E-2</v>
      </c>
      <c r="L180" s="60">
        <f t="shared" si="188"/>
        <v>12.3606</v>
      </c>
      <c r="M180" s="58">
        <f>IF(VLOOKUP(E180,'HOURLY RATES'!C$6:D$105,2,0)=0,$E$3,VLOOKUP(E180,'HOURLY RATES'!C$6:D$105,2,0))</f>
        <v>54</v>
      </c>
      <c r="N180" s="58">
        <f t="shared" si="189"/>
        <v>667.47239999999999</v>
      </c>
      <c r="O180" s="61">
        <v>0.8</v>
      </c>
      <c r="P180" s="61">
        <f t="shared" si="190"/>
        <v>549.36</v>
      </c>
      <c r="Q180" s="62">
        <f t="shared" si="191"/>
        <v>1216.8324</v>
      </c>
      <c r="R180" s="155"/>
      <c r="S180" s="131">
        <f>((((N180*(1+$D$7))+(P180*(1+$D$5+$D$6)))*(1+$D$8)))/I180</f>
        <v>2.2149086399999995</v>
      </c>
      <c r="T180" s="130">
        <f t="shared" si="192"/>
        <v>1520.9777630879998</v>
      </c>
    </row>
    <row r="181" spans="1:20" s="7" customFormat="1" ht="31.2" x14ac:dyDescent="0.25">
      <c r="A181" s="152">
        <f>IF(J181&lt;&gt;"",1+MAX($A$18:A180),"")</f>
        <v>89</v>
      </c>
      <c r="B181" s="50"/>
      <c r="C181" s="50"/>
      <c r="D181" s="100" t="s">
        <v>35</v>
      </c>
      <c r="E181" s="178" t="s">
        <v>104</v>
      </c>
      <c r="F181" s="175" t="s">
        <v>806</v>
      </c>
      <c r="G181" s="51">
        <f>435*3</f>
        <v>1305</v>
      </c>
      <c r="H181" s="52">
        <f>IF(VLOOKUP(J181,'HOURLY RATES'!B$116:C$124,2,0)=0,$J$3,VLOOKUP(J181,'HOURLY RATES'!B$116:C$124,2,0))</f>
        <v>0.05</v>
      </c>
      <c r="I181" s="53">
        <f t="shared" si="187"/>
        <v>1370.25</v>
      </c>
      <c r="J181" s="99" t="s">
        <v>226</v>
      </c>
      <c r="K181" s="153">
        <v>1.7999999999999999E-2</v>
      </c>
      <c r="L181" s="60">
        <f t="shared" si="188"/>
        <v>24.664499999999997</v>
      </c>
      <c r="M181" s="58">
        <f>IF(VLOOKUP(E181,'HOURLY RATES'!C$6:D$105,2,0)=0,$E$3,VLOOKUP(E181,'HOURLY RATES'!C$6:D$105,2,0))</f>
        <v>54</v>
      </c>
      <c r="N181" s="58">
        <f t="shared" si="189"/>
        <v>1331.8829999999998</v>
      </c>
      <c r="O181" s="61">
        <v>0.8</v>
      </c>
      <c r="P181" s="61">
        <f t="shared" si="190"/>
        <v>1096.2</v>
      </c>
      <c r="Q181" s="62">
        <f t="shared" si="191"/>
        <v>2428.0829999999996</v>
      </c>
      <c r="R181" s="155"/>
      <c r="S181" s="131">
        <f>((((N181*(1+$D$7))+(P181*(1+$D$5+$D$6)))*(1+$D$8)))/I181</f>
        <v>2.2149086399999991</v>
      </c>
      <c r="T181" s="130">
        <f t="shared" si="192"/>
        <v>3034.9785639599986</v>
      </c>
    </row>
    <row r="182" spans="1:20" s="7" customFormat="1" x14ac:dyDescent="0.25">
      <c r="A182" s="152"/>
      <c r="B182" s="50"/>
      <c r="C182" s="63"/>
      <c r="D182" s="100"/>
      <c r="E182" s="178"/>
      <c r="F182" s="103"/>
      <c r="G182" s="51"/>
      <c r="H182" s="52"/>
      <c r="I182" s="53"/>
      <c r="J182" s="99"/>
      <c r="K182" s="153"/>
      <c r="L182" s="60"/>
      <c r="M182" s="58"/>
      <c r="N182" s="58"/>
      <c r="O182" s="61"/>
      <c r="P182" s="61"/>
      <c r="Q182" s="62"/>
      <c r="R182" s="155"/>
      <c r="S182" s="131"/>
      <c r="T182" s="130"/>
    </row>
    <row r="183" spans="1:20" s="7" customFormat="1" x14ac:dyDescent="0.25">
      <c r="A183" s="152">
        <f>IF(J183&lt;&gt;"",1+MAX($A$18:A181),"")</f>
        <v>90</v>
      </c>
      <c r="B183" s="50"/>
      <c r="C183" s="63"/>
      <c r="D183" s="100"/>
      <c r="E183" s="178"/>
      <c r="F183" s="177" t="s">
        <v>764</v>
      </c>
      <c r="G183" s="108">
        <v>7</v>
      </c>
      <c r="H183" s="52"/>
      <c r="I183" s="53"/>
      <c r="J183" s="99" t="s">
        <v>225</v>
      </c>
      <c r="K183" s="153"/>
      <c r="L183" s="60"/>
      <c r="M183" s="58"/>
      <c r="N183" s="58"/>
      <c r="O183" s="61"/>
      <c r="P183" s="61"/>
      <c r="Q183" s="62"/>
      <c r="R183" s="155"/>
      <c r="S183" s="131"/>
      <c r="T183" s="130"/>
    </row>
    <row r="184" spans="1:20" s="7" customFormat="1" x14ac:dyDescent="0.25">
      <c r="A184" s="152" t="str">
        <f>IF(J184&lt;&gt;"",1+MAX($A$18:A183),"")</f>
        <v/>
      </c>
      <c r="B184" s="50"/>
      <c r="C184" s="63"/>
      <c r="D184" s="100"/>
      <c r="E184" s="178"/>
      <c r="F184" s="172" t="s">
        <v>722</v>
      </c>
      <c r="G184" s="51"/>
      <c r="H184" s="52"/>
      <c r="I184" s="53"/>
      <c r="J184" s="99"/>
      <c r="K184" s="153"/>
      <c r="L184" s="60"/>
      <c r="M184" s="58"/>
      <c r="N184" s="58"/>
      <c r="O184" s="61"/>
      <c r="P184" s="61"/>
      <c r="Q184" s="62"/>
      <c r="R184" s="155"/>
      <c r="S184" s="131"/>
      <c r="T184" s="130"/>
    </row>
    <row r="185" spans="1:20" s="7" customFormat="1" ht="31.2" x14ac:dyDescent="0.25">
      <c r="A185" s="152">
        <f>IF(J185&lt;&gt;"",1+MAX($A$18:A184),"")</f>
        <v>91</v>
      </c>
      <c r="B185" s="50"/>
      <c r="C185" s="50"/>
      <c r="D185" s="100" t="s">
        <v>35</v>
      </c>
      <c r="E185" s="178" t="s">
        <v>104</v>
      </c>
      <c r="F185" s="175" t="s">
        <v>758</v>
      </c>
      <c r="G185" s="51">
        <f>1142*7</f>
        <v>7994</v>
      </c>
      <c r="H185" s="52">
        <f>IF(VLOOKUP(J185,'HOURLY RATES'!B$116:C$124,2,0)=0,$J$3,VLOOKUP(J185,'HOURLY RATES'!B$116:C$124,2,0))</f>
        <v>0.05</v>
      </c>
      <c r="I185" s="53">
        <f t="shared" ref="I185" si="193">(G185*(1+H185))</f>
        <v>8393.7000000000007</v>
      </c>
      <c r="J185" s="99" t="s">
        <v>224</v>
      </c>
      <c r="K185" s="153">
        <v>2.1999999999999999E-2</v>
      </c>
      <c r="L185" s="60">
        <f t="shared" ref="L185" si="194">K185*I185</f>
        <v>184.66140000000001</v>
      </c>
      <c r="M185" s="58">
        <f>IF(VLOOKUP(E185,'HOURLY RATES'!C$6:D$105,2,0)=0,$E$3,VLOOKUP(E185,'HOURLY RATES'!C$6:D$105,2,0))</f>
        <v>54</v>
      </c>
      <c r="N185" s="58">
        <f t="shared" ref="N185" si="195">M185*L185</f>
        <v>9971.7156000000014</v>
      </c>
      <c r="O185" s="61">
        <v>0.4</v>
      </c>
      <c r="P185" s="61">
        <f t="shared" ref="P185" si="196">O185*I185</f>
        <v>3357.4800000000005</v>
      </c>
      <c r="Q185" s="62">
        <f t="shared" ref="Q185" si="197">P185+N185</f>
        <v>13329.195600000003</v>
      </c>
      <c r="R185" s="155"/>
      <c r="S185" s="131">
        <f>((((N185*(1+$D$7))+(P185*(1+$D$5+$D$6)))*(1+$D$8)))/I185</f>
        <v>1.9624903199999999</v>
      </c>
      <c r="T185" s="130">
        <f t="shared" ref="T185" si="198">S185*I185</f>
        <v>16472.554998984</v>
      </c>
    </row>
    <row r="186" spans="1:20" s="7" customFormat="1" x14ac:dyDescent="0.25">
      <c r="A186" s="152"/>
      <c r="B186" s="50"/>
      <c r="C186" s="63"/>
      <c r="D186" s="100"/>
      <c r="E186" s="178"/>
      <c r="F186" s="103"/>
      <c r="G186" s="51"/>
      <c r="H186" s="52"/>
      <c r="I186" s="53"/>
      <c r="J186" s="99"/>
      <c r="K186" s="153"/>
      <c r="L186" s="60"/>
      <c r="M186" s="58"/>
      <c r="N186" s="58"/>
      <c r="O186" s="61"/>
      <c r="P186" s="61"/>
      <c r="Q186" s="62"/>
      <c r="R186" s="155"/>
      <c r="S186" s="131"/>
      <c r="T186" s="130"/>
    </row>
    <row r="187" spans="1:20" s="7" customFormat="1" x14ac:dyDescent="0.25">
      <c r="A187" s="152" t="str">
        <f>IF(J187&lt;&gt;"",1+MAX($A$18:A185),"")</f>
        <v/>
      </c>
      <c r="B187" s="50"/>
      <c r="C187" s="63"/>
      <c r="D187" s="100"/>
      <c r="E187" s="178"/>
      <c r="F187" s="172" t="s">
        <v>719</v>
      </c>
      <c r="G187" s="51"/>
      <c r="H187" s="52"/>
      <c r="I187" s="53"/>
      <c r="J187" s="99"/>
      <c r="K187" s="153"/>
      <c r="L187" s="60"/>
      <c r="M187" s="58"/>
      <c r="N187" s="58"/>
      <c r="O187" s="61"/>
      <c r="P187" s="61"/>
      <c r="Q187" s="62"/>
      <c r="R187" s="155"/>
      <c r="S187" s="131"/>
      <c r="T187" s="130"/>
    </row>
    <row r="188" spans="1:20" s="7" customFormat="1" ht="31.2" x14ac:dyDescent="0.25">
      <c r="A188" s="152">
        <f>IF(J188&lt;&gt;"",1+MAX($A$18:A187),"")</f>
        <v>92</v>
      </c>
      <c r="B188" s="50"/>
      <c r="C188" s="50"/>
      <c r="D188" s="100" t="s">
        <v>35</v>
      </c>
      <c r="E188" s="178" t="s">
        <v>104</v>
      </c>
      <c r="F188" s="175" t="s">
        <v>760</v>
      </c>
      <c r="G188" s="51">
        <f>295*7</f>
        <v>2065</v>
      </c>
      <c r="H188" s="52">
        <f>IF(VLOOKUP(J188,'HOURLY RATES'!B$116:C$124,2,0)=0,$J$3,VLOOKUP(J188,'HOURLY RATES'!B$116:C$124,2,0))</f>
        <v>0.05</v>
      </c>
      <c r="I188" s="53">
        <f t="shared" ref="I188:I192" si="199">(G188*(1+H188))</f>
        <v>2168.25</v>
      </c>
      <c r="J188" s="99" t="s">
        <v>226</v>
      </c>
      <c r="K188" s="153">
        <v>1.7999999999999999E-2</v>
      </c>
      <c r="L188" s="60">
        <f t="shared" ref="L188" si="200">K188*I188</f>
        <v>39.028499999999994</v>
      </c>
      <c r="M188" s="58">
        <f>IF(VLOOKUP(E188,'HOURLY RATES'!C$6:D$105,2,0)=0,$E$3,VLOOKUP(E188,'HOURLY RATES'!C$6:D$105,2,0))</f>
        <v>54</v>
      </c>
      <c r="N188" s="58">
        <f t="shared" ref="N188" si="201">M188*L188</f>
        <v>2107.5389999999998</v>
      </c>
      <c r="O188" s="61">
        <v>0.8</v>
      </c>
      <c r="P188" s="61">
        <f t="shared" ref="P188:P192" si="202">O188*I188</f>
        <v>1734.6000000000001</v>
      </c>
      <c r="Q188" s="62">
        <f t="shared" ref="Q188:Q192" si="203">P188+N188</f>
        <v>3842.1390000000001</v>
      </c>
      <c r="R188" s="155"/>
      <c r="S188" s="131">
        <f>((((N188*(1+$D$7))+(P188*(1+$D$5+$D$6)))*(1+$D$8)))/I188</f>
        <v>2.2149086399999995</v>
      </c>
      <c r="T188" s="130">
        <f t="shared" ref="T188:T192" si="204">S188*I188</f>
        <v>4802.4756586799986</v>
      </c>
    </row>
    <row r="189" spans="1:20" s="7" customFormat="1" x14ac:dyDescent="0.25">
      <c r="A189" s="152"/>
      <c r="B189" s="50"/>
      <c r="C189" s="63"/>
      <c r="D189" s="100"/>
      <c r="E189" s="178"/>
      <c r="F189" s="103"/>
      <c r="G189" s="51"/>
      <c r="H189" s="52"/>
      <c r="I189" s="53"/>
      <c r="J189" s="99"/>
      <c r="K189" s="153"/>
      <c r="L189" s="60"/>
      <c r="M189" s="58"/>
      <c r="N189" s="58"/>
      <c r="O189" s="61"/>
      <c r="P189" s="61"/>
      <c r="Q189" s="62"/>
      <c r="R189" s="155"/>
      <c r="S189" s="131"/>
      <c r="T189" s="130"/>
    </row>
    <row r="190" spans="1:20" s="7" customFormat="1" x14ac:dyDescent="0.25">
      <c r="A190" s="152" t="str">
        <f>IF(J190&lt;&gt;"",1+MAX($A$18:A188),"")</f>
        <v/>
      </c>
      <c r="B190" s="50"/>
      <c r="C190" s="63"/>
      <c r="D190" s="100"/>
      <c r="E190" s="178"/>
      <c r="F190" s="172" t="s">
        <v>223</v>
      </c>
      <c r="G190" s="51"/>
      <c r="H190" s="52"/>
      <c r="I190" s="53"/>
      <c r="J190" s="99"/>
      <c r="K190" s="153"/>
      <c r="L190" s="60"/>
      <c r="M190" s="58"/>
      <c r="N190" s="58"/>
      <c r="O190" s="61"/>
      <c r="P190" s="61"/>
      <c r="Q190" s="62"/>
      <c r="R190" s="155"/>
      <c r="S190" s="131"/>
      <c r="T190" s="130"/>
    </row>
    <row r="191" spans="1:20" s="7" customFormat="1" ht="31.2" x14ac:dyDescent="0.25">
      <c r="A191" s="152">
        <f>IF(J191&lt;&gt;"",1+MAX($A$18:A189),"")</f>
        <v>93</v>
      </c>
      <c r="B191" s="50"/>
      <c r="C191" s="50"/>
      <c r="D191" s="100" t="s">
        <v>35</v>
      </c>
      <c r="E191" s="178" t="s">
        <v>104</v>
      </c>
      <c r="F191" s="175" t="s">
        <v>757</v>
      </c>
      <c r="G191" s="51">
        <f>2363*7</f>
        <v>16541</v>
      </c>
      <c r="H191" s="52">
        <f>IF(VLOOKUP(J191,'HOURLY RATES'!B$116:C$124,2,0)=0,$J$3,VLOOKUP(J191,'HOURLY RATES'!B$116:C$124,2,0))</f>
        <v>0.05</v>
      </c>
      <c r="I191" s="53">
        <f t="shared" ref="I191" si="205">(G191*(1+H191))</f>
        <v>17368.05</v>
      </c>
      <c r="J191" s="99" t="s">
        <v>224</v>
      </c>
      <c r="K191" s="153">
        <v>0.02</v>
      </c>
      <c r="L191" s="60">
        <f t="shared" ref="L191:L192" si="206">K191*I191</f>
        <v>347.36099999999999</v>
      </c>
      <c r="M191" s="58">
        <f>IF(VLOOKUP(E191,'HOURLY RATES'!C$6:D$105,2,0)=0,$E$3,VLOOKUP(E191,'HOURLY RATES'!C$6:D$105,2,0))</f>
        <v>54</v>
      </c>
      <c r="N191" s="58">
        <f t="shared" ref="N191:N192" si="207">M191*L191</f>
        <v>18757.493999999999</v>
      </c>
      <c r="O191" s="61">
        <v>0.4</v>
      </c>
      <c r="P191" s="61">
        <f t="shared" ref="P191" si="208">O191*I191</f>
        <v>6947.22</v>
      </c>
      <c r="Q191" s="62">
        <f t="shared" ref="Q191" si="209">P191+N191</f>
        <v>25704.714</v>
      </c>
      <c r="R191" s="155"/>
      <c r="S191" s="131">
        <f>((((N191*(1+$D$7))+(P191*(1+$D$5+$D$6)))*(1+$D$8)))/I191</f>
        <v>1.8309463199999996</v>
      </c>
      <c r="T191" s="130">
        <f t="shared" ref="T191" si="210">S191*I191</f>
        <v>31799.967233075989</v>
      </c>
    </row>
    <row r="192" spans="1:20" s="7" customFormat="1" ht="31.2" x14ac:dyDescent="0.25">
      <c r="A192" s="152">
        <f>IF(J192&lt;&gt;"",1+MAX($A$18:A190),"")</f>
        <v>93</v>
      </c>
      <c r="B192" s="50"/>
      <c r="C192" s="50"/>
      <c r="D192" s="100" t="s">
        <v>35</v>
      </c>
      <c r="E192" s="178" t="s">
        <v>104</v>
      </c>
      <c r="F192" s="175" t="s">
        <v>759</v>
      </c>
      <c r="G192" s="51">
        <f>447*7</f>
        <v>3129</v>
      </c>
      <c r="H192" s="52">
        <f>IF(VLOOKUP(J192,'HOURLY RATES'!B$116:C$124,2,0)=0,$J$3,VLOOKUP(J192,'HOURLY RATES'!B$116:C$124,2,0))</f>
        <v>0.05</v>
      </c>
      <c r="I192" s="53">
        <f t="shared" si="199"/>
        <v>3285.4500000000003</v>
      </c>
      <c r="J192" s="99" t="s">
        <v>224</v>
      </c>
      <c r="K192" s="153">
        <v>0.02</v>
      </c>
      <c r="L192" s="60">
        <f t="shared" si="206"/>
        <v>65.709000000000003</v>
      </c>
      <c r="M192" s="58">
        <f>IF(VLOOKUP(E192,'HOURLY RATES'!C$6:D$105,2,0)=0,$E$3,VLOOKUP(E192,'HOURLY RATES'!C$6:D$105,2,0))</f>
        <v>54</v>
      </c>
      <c r="N192" s="58">
        <f t="shared" si="207"/>
        <v>3548.2860000000001</v>
      </c>
      <c r="O192" s="61">
        <v>0.4</v>
      </c>
      <c r="P192" s="61">
        <f t="shared" si="202"/>
        <v>1314.1800000000003</v>
      </c>
      <c r="Q192" s="62">
        <f t="shared" si="203"/>
        <v>4862.4660000000003</v>
      </c>
      <c r="R192" s="155"/>
      <c r="S192" s="131">
        <f>((((N192*(1+$D$7))+(P192*(1+$D$5+$D$6)))*(1+$D$8)))/I192</f>
        <v>1.8309463199999998</v>
      </c>
      <c r="T192" s="130">
        <f t="shared" si="204"/>
        <v>6015.482587044</v>
      </c>
    </row>
    <row r="193" spans="1:20" s="7" customFormat="1" x14ac:dyDescent="0.25">
      <c r="A193" s="152"/>
      <c r="B193" s="50"/>
      <c r="C193" s="63"/>
      <c r="D193" s="100"/>
      <c r="E193" s="178"/>
      <c r="F193" s="103"/>
      <c r="G193" s="51"/>
      <c r="H193" s="52"/>
      <c r="I193" s="53"/>
      <c r="J193" s="99"/>
      <c r="K193" s="153"/>
      <c r="L193" s="60"/>
      <c r="M193" s="58"/>
      <c r="N193" s="58"/>
      <c r="O193" s="61"/>
      <c r="P193" s="61"/>
      <c r="Q193" s="62"/>
      <c r="R193" s="155"/>
      <c r="S193" s="131"/>
      <c r="T193" s="130"/>
    </row>
    <row r="194" spans="1:20" s="7" customFormat="1" x14ac:dyDescent="0.25">
      <c r="A194" s="152" t="str">
        <f>IF(J194&lt;&gt;"",1+MAX($A$18:A192),"")</f>
        <v/>
      </c>
      <c r="B194" s="50"/>
      <c r="C194" s="63"/>
      <c r="D194" s="100"/>
      <c r="E194" s="178"/>
      <c r="F194" s="172" t="s">
        <v>723</v>
      </c>
      <c r="G194" s="51"/>
      <c r="H194" s="52"/>
      <c r="I194" s="53"/>
      <c r="J194" s="99"/>
      <c r="K194" s="153"/>
      <c r="L194" s="60"/>
      <c r="M194" s="58"/>
      <c r="N194" s="58"/>
      <c r="O194" s="61"/>
      <c r="P194" s="61"/>
      <c r="Q194" s="62"/>
      <c r="R194" s="155"/>
      <c r="S194" s="131"/>
      <c r="T194" s="130"/>
    </row>
    <row r="195" spans="1:20" s="7" customFormat="1" ht="31.2" x14ac:dyDescent="0.25">
      <c r="A195" s="152">
        <f>IF(J195&lt;&gt;"",1+MAX($A$18:A194),"")</f>
        <v>94</v>
      </c>
      <c r="B195" s="50"/>
      <c r="C195" s="50"/>
      <c r="D195" s="100" t="s">
        <v>35</v>
      </c>
      <c r="E195" s="178" t="s">
        <v>104</v>
      </c>
      <c r="F195" s="175" t="s">
        <v>804</v>
      </c>
      <c r="G195" s="51">
        <f>10*7</f>
        <v>70</v>
      </c>
      <c r="H195" s="52">
        <f>IF(VLOOKUP(J195,'HOURLY RATES'!B$116:C$124,2,0)=0,$J$3,VLOOKUP(J195,'HOURLY RATES'!B$116:C$124,2,0))</f>
        <v>0</v>
      </c>
      <c r="I195" s="53">
        <f t="shared" ref="I195:I197" si="211">(G195*(1+H195))</f>
        <v>70</v>
      </c>
      <c r="J195" s="99" t="s">
        <v>225</v>
      </c>
      <c r="K195" s="153">
        <v>1.23</v>
      </c>
      <c r="L195" s="60">
        <f t="shared" ref="L195:L197" si="212">K195*I195</f>
        <v>86.1</v>
      </c>
      <c r="M195" s="58">
        <f>IF(VLOOKUP(E195,'HOURLY RATES'!C$6:D$105,2,0)=0,$E$3,VLOOKUP(E195,'HOURLY RATES'!C$6:D$105,2,0))</f>
        <v>54</v>
      </c>
      <c r="N195" s="58">
        <f t="shared" ref="N195:N197" si="213">M195*L195</f>
        <v>4649.3999999999996</v>
      </c>
      <c r="O195" s="61">
        <v>28</v>
      </c>
      <c r="P195" s="61">
        <f t="shared" ref="P195:P197" si="214">O195*I195</f>
        <v>1960</v>
      </c>
      <c r="Q195" s="62">
        <f t="shared" ref="Q195:Q197" si="215">P195+N195</f>
        <v>6609.4</v>
      </c>
      <c r="R195" s="155"/>
      <c r="S195" s="131">
        <f>((((N195*(1+$D$7))+(P195*(1+$D$5+$D$6)))*(1+$D$8)))/I195</f>
        <v>116.98500239999998</v>
      </c>
      <c r="T195" s="130">
        <f t="shared" ref="T195:T197" si="216">S195*I195</f>
        <v>8188.9501679999994</v>
      </c>
    </row>
    <row r="196" spans="1:20" s="7" customFormat="1" ht="31.2" x14ac:dyDescent="0.25">
      <c r="A196" s="152">
        <f>IF(J196&lt;&gt;"",1+MAX($A$18:A195),"")</f>
        <v>95</v>
      </c>
      <c r="B196" s="50"/>
      <c r="C196" s="50"/>
      <c r="D196" s="100" t="s">
        <v>35</v>
      </c>
      <c r="E196" s="178" t="s">
        <v>104</v>
      </c>
      <c r="F196" s="175" t="s">
        <v>805</v>
      </c>
      <c r="G196" s="51">
        <f>170*7</f>
        <v>1190</v>
      </c>
      <c r="H196" s="52">
        <f>IF(VLOOKUP(J196,'HOURLY RATES'!B$116:C$124,2,0)=0,$J$3,VLOOKUP(J196,'HOURLY RATES'!B$116:C$124,2,0))</f>
        <v>0.05</v>
      </c>
      <c r="I196" s="53">
        <f t="shared" si="211"/>
        <v>1249.5</v>
      </c>
      <c r="J196" s="99" t="s">
        <v>226</v>
      </c>
      <c r="K196" s="153">
        <v>1.7999999999999999E-2</v>
      </c>
      <c r="L196" s="60">
        <f t="shared" si="212"/>
        <v>22.491</v>
      </c>
      <c r="M196" s="58">
        <f>IF(VLOOKUP(E196,'HOURLY RATES'!C$6:D$105,2,0)=0,$E$3,VLOOKUP(E196,'HOURLY RATES'!C$6:D$105,2,0))</f>
        <v>54</v>
      </c>
      <c r="N196" s="58">
        <f t="shared" si="213"/>
        <v>1214.5139999999999</v>
      </c>
      <c r="O196" s="61">
        <v>0.8</v>
      </c>
      <c r="P196" s="61">
        <f t="shared" si="214"/>
        <v>999.6</v>
      </c>
      <c r="Q196" s="62">
        <f t="shared" si="215"/>
        <v>2214.114</v>
      </c>
      <c r="R196" s="155"/>
      <c r="S196" s="131">
        <f>((((N196*(1+$D$7))+(P196*(1+$D$5+$D$6)))*(1+$D$8)))/I196</f>
        <v>2.2149086399999995</v>
      </c>
      <c r="T196" s="130">
        <f t="shared" si="216"/>
        <v>2767.5283456799993</v>
      </c>
    </row>
    <row r="197" spans="1:20" s="7" customFormat="1" ht="31.2" x14ac:dyDescent="0.25">
      <c r="A197" s="152">
        <f>IF(J197&lt;&gt;"",1+MAX($A$18:A196),"")</f>
        <v>96</v>
      </c>
      <c r="B197" s="50"/>
      <c r="C197" s="50"/>
      <c r="D197" s="100" t="s">
        <v>35</v>
      </c>
      <c r="E197" s="178" t="s">
        <v>104</v>
      </c>
      <c r="F197" s="175" t="s">
        <v>806</v>
      </c>
      <c r="G197" s="51">
        <f>339*7</f>
        <v>2373</v>
      </c>
      <c r="H197" s="52">
        <f>IF(VLOOKUP(J197,'HOURLY RATES'!B$116:C$124,2,0)=0,$J$3,VLOOKUP(J197,'HOURLY RATES'!B$116:C$124,2,0))</f>
        <v>0.05</v>
      </c>
      <c r="I197" s="53">
        <f t="shared" si="211"/>
        <v>2491.65</v>
      </c>
      <c r="J197" s="99" t="s">
        <v>226</v>
      </c>
      <c r="K197" s="153">
        <v>1.7999999999999999E-2</v>
      </c>
      <c r="L197" s="60">
        <f t="shared" si="212"/>
        <v>44.849699999999999</v>
      </c>
      <c r="M197" s="58">
        <f>IF(VLOOKUP(E197,'HOURLY RATES'!C$6:D$105,2,0)=0,$E$3,VLOOKUP(E197,'HOURLY RATES'!C$6:D$105,2,0))</f>
        <v>54</v>
      </c>
      <c r="N197" s="58">
        <f t="shared" si="213"/>
        <v>2421.8838000000001</v>
      </c>
      <c r="O197" s="61">
        <v>0.8</v>
      </c>
      <c r="P197" s="61">
        <f t="shared" si="214"/>
        <v>1993.3200000000002</v>
      </c>
      <c r="Q197" s="62">
        <f t="shared" si="215"/>
        <v>4415.2038000000002</v>
      </c>
      <c r="R197" s="155"/>
      <c r="S197" s="131">
        <f>((((N197*(1+$D$7))+(P197*(1+$D$5+$D$6)))*(1+$D$8)))/I197</f>
        <v>2.21490864</v>
      </c>
      <c r="T197" s="130">
        <f t="shared" si="216"/>
        <v>5518.7771128559998</v>
      </c>
    </row>
    <row r="198" spans="1:20" s="7" customFormat="1" x14ac:dyDescent="0.25">
      <c r="A198" s="152"/>
      <c r="B198" s="50"/>
      <c r="C198" s="63"/>
      <c r="D198" s="100"/>
      <c r="E198" s="178"/>
      <c r="F198" s="103"/>
      <c r="G198" s="51"/>
      <c r="H198" s="52"/>
      <c r="I198" s="53"/>
      <c r="J198" s="99"/>
      <c r="K198" s="153"/>
      <c r="L198" s="60"/>
      <c r="M198" s="58"/>
      <c r="N198" s="58"/>
      <c r="O198" s="61"/>
      <c r="P198" s="61"/>
      <c r="Q198" s="62"/>
      <c r="R198" s="155"/>
      <c r="S198" s="131"/>
      <c r="T198" s="130"/>
    </row>
    <row r="199" spans="1:20" s="7" customFormat="1" x14ac:dyDescent="0.25">
      <c r="A199" s="152">
        <f>IF(J199&lt;&gt;"",1+MAX($A$18:A181),"")</f>
        <v>90</v>
      </c>
      <c r="B199" s="50"/>
      <c r="C199" s="63"/>
      <c r="D199" s="100"/>
      <c r="E199" s="178"/>
      <c r="F199" s="177" t="s">
        <v>765</v>
      </c>
      <c r="G199" s="108">
        <v>10</v>
      </c>
      <c r="H199" s="52"/>
      <c r="I199" s="53"/>
      <c r="J199" s="99" t="s">
        <v>225</v>
      </c>
      <c r="K199" s="153"/>
      <c r="L199" s="60"/>
      <c r="M199" s="58"/>
      <c r="N199" s="58"/>
      <c r="O199" s="61"/>
      <c r="P199" s="61"/>
      <c r="Q199" s="62"/>
      <c r="R199" s="155"/>
      <c r="S199" s="131"/>
      <c r="T199" s="130"/>
    </row>
    <row r="200" spans="1:20" s="7" customFormat="1" x14ac:dyDescent="0.25">
      <c r="A200" s="152" t="str">
        <f>IF(J200&lt;&gt;"",1+MAX($A$18:A199),"")</f>
        <v/>
      </c>
      <c r="B200" s="50"/>
      <c r="C200" s="63"/>
      <c r="D200" s="100"/>
      <c r="E200" s="178"/>
      <c r="F200" s="172" t="s">
        <v>722</v>
      </c>
      <c r="G200" s="51"/>
      <c r="H200" s="52"/>
      <c r="I200" s="53"/>
      <c r="J200" s="99"/>
      <c r="K200" s="153"/>
      <c r="L200" s="60"/>
      <c r="M200" s="58"/>
      <c r="N200" s="58"/>
      <c r="O200" s="61"/>
      <c r="P200" s="61"/>
      <c r="Q200" s="62"/>
      <c r="R200" s="155"/>
      <c r="S200" s="131"/>
      <c r="T200" s="130"/>
    </row>
    <row r="201" spans="1:20" s="7" customFormat="1" ht="31.2" x14ac:dyDescent="0.25">
      <c r="A201" s="152">
        <f>IF(J201&lt;&gt;"",1+MAX($A$18:A200),"")</f>
        <v>97</v>
      </c>
      <c r="B201" s="50"/>
      <c r="C201" s="50"/>
      <c r="D201" s="100" t="s">
        <v>35</v>
      </c>
      <c r="E201" s="178" t="s">
        <v>104</v>
      </c>
      <c r="F201" s="175" t="s">
        <v>758</v>
      </c>
      <c r="G201" s="51">
        <f>1127*10</f>
        <v>11270</v>
      </c>
      <c r="H201" s="52">
        <f>IF(VLOOKUP(J201,'HOURLY RATES'!B$116:C$124,2,0)=0,$J$3,VLOOKUP(J201,'HOURLY RATES'!B$116:C$124,2,0))</f>
        <v>0.05</v>
      </c>
      <c r="I201" s="53">
        <f t="shared" ref="I201" si="217">(G201*(1+H201))</f>
        <v>11833.5</v>
      </c>
      <c r="J201" s="99" t="s">
        <v>224</v>
      </c>
      <c r="K201" s="153">
        <v>2.1999999999999999E-2</v>
      </c>
      <c r="L201" s="60">
        <f t="shared" ref="L201" si="218">K201*I201</f>
        <v>260.33699999999999</v>
      </c>
      <c r="M201" s="58">
        <f>IF(VLOOKUP(E201,'HOURLY RATES'!C$6:D$105,2,0)=0,$E$3,VLOOKUP(E201,'HOURLY RATES'!C$6:D$105,2,0))</f>
        <v>54</v>
      </c>
      <c r="N201" s="58">
        <f t="shared" ref="N201" si="219">M201*L201</f>
        <v>14058.198</v>
      </c>
      <c r="O201" s="61">
        <v>0.4</v>
      </c>
      <c r="P201" s="61">
        <f t="shared" ref="P201" si="220">O201*I201</f>
        <v>4733.4000000000005</v>
      </c>
      <c r="Q201" s="62">
        <f t="shared" ref="Q201" si="221">P201+N201</f>
        <v>18791.598000000002</v>
      </c>
      <c r="R201" s="155"/>
      <c r="S201" s="131">
        <f>((((N201*(1+$D$7))+(P201*(1+$D$5+$D$6)))*(1+$D$8)))/I201</f>
        <v>1.9624903199999999</v>
      </c>
      <c r="T201" s="130">
        <f t="shared" ref="T201" si="222">S201*I201</f>
        <v>23223.129201719999</v>
      </c>
    </row>
    <row r="202" spans="1:20" s="7" customFormat="1" x14ac:dyDescent="0.25">
      <c r="A202" s="152"/>
      <c r="B202" s="50"/>
      <c r="C202" s="63"/>
      <c r="D202" s="100"/>
      <c r="E202" s="178"/>
      <c r="F202" s="103"/>
      <c r="G202" s="51"/>
      <c r="H202" s="52"/>
      <c r="I202" s="53"/>
      <c r="J202" s="99"/>
      <c r="K202" s="153"/>
      <c r="L202" s="60"/>
      <c r="M202" s="58"/>
      <c r="N202" s="58"/>
      <c r="O202" s="61"/>
      <c r="P202" s="61"/>
      <c r="Q202" s="62"/>
      <c r="R202" s="155"/>
      <c r="S202" s="131"/>
      <c r="T202" s="130"/>
    </row>
    <row r="203" spans="1:20" s="7" customFormat="1" x14ac:dyDescent="0.25">
      <c r="A203" s="152" t="str">
        <f>IF(J203&lt;&gt;"",1+MAX($A$18:A201),"")</f>
        <v/>
      </c>
      <c r="B203" s="50"/>
      <c r="C203" s="63"/>
      <c r="D203" s="100"/>
      <c r="E203" s="178"/>
      <c r="F203" s="172" t="s">
        <v>719</v>
      </c>
      <c r="G203" s="51"/>
      <c r="H203" s="52"/>
      <c r="I203" s="53"/>
      <c r="J203" s="99"/>
      <c r="K203" s="153"/>
      <c r="L203" s="60"/>
      <c r="M203" s="58"/>
      <c r="N203" s="58"/>
      <c r="O203" s="61"/>
      <c r="P203" s="61"/>
      <c r="Q203" s="62"/>
      <c r="R203" s="155"/>
      <c r="S203" s="131"/>
      <c r="T203" s="130"/>
    </row>
    <row r="204" spans="1:20" s="7" customFormat="1" ht="31.2" x14ac:dyDescent="0.25">
      <c r="A204" s="152">
        <f>IF(J204&lt;&gt;"",1+MAX($A$18:A203),"")</f>
        <v>98</v>
      </c>
      <c r="B204" s="50"/>
      <c r="C204" s="50"/>
      <c r="D204" s="100" t="s">
        <v>35</v>
      </c>
      <c r="E204" s="178" t="s">
        <v>104</v>
      </c>
      <c r="F204" s="175" t="s">
        <v>760</v>
      </c>
      <c r="G204" s="51">
        <f>320*10</f>
        <v>3200</v>
      </c>
      <c r="H204" s="52">
        <f>IF(VLOOKUP(J204,'HOURLY RATES'!B$116:C$124,2,0)=0,$J$3,VLOOKUP(J204,'HOURLY RATES'!B$116:C$124,2,0))</f>
        <v>0.05</v>
      </c>
      <c r="I204" s="53">
        <f t="shared" ref="I204:I208" si="223">(G204*(1+H204))</f>
        <v>3360</v>
      </c>
      <c r="J204" s="99" t="s">
        <v>226</v>
      </c>
      <c r="K204" s="153">
        <v>1.7999999999999999E-2</v>
      </c>
      <c r="L204" s="60">
        <f t="shared" ref="L204" si="224">K204*I204</f>
        <v>60.48</v>
      </c>
      <c r="M204" s="58">
        <f>IF(VLOOKUP(E204,'HOURLY RATES'!C$6:D$105,2,0)=0,$E$3,VLOOKUP(E204,'HOURLY RATES'!C$6:D$105,2,0))</f>
        <v>54</v>
      </c>
      <c r="N204" s="58">
        <f t="shared" ref="N204" si="225">M204*L204</f>
        <v>3265.9199999999996</v>
      </c>
      <c r="O204" s="61">
        <v>0.8</v>
      </c>
      <c r="P204" s="61">
        <f t="shared" ref="P204:P208" si="226">O204*I204</f>
        <v>2688</v>
      </c>
      <c r="Q204" s="62">
        <f t="shared" ref="Q204:Q208" si="227">P204+N204</f>
        <v>5953.92</v>
      </c>
      <c r="R204" s="155"/>
      <c r="S204" s="131">
        <f>((((N204*(1+$D$7))+(P204*(1+$D$5+$D$6)))*(1+$D$8)))/I204</f>
        <v>2.2149086399999995</v>
      </c>
      <c r="T204" s="130">
        <f t="shared" ref="T204:T208" si="228">S204*I204</f>
        <v>7442.0930303999985</v>
      </c>
    </row>
    <row r="205" spans="1:20" s="7" customFormat="1" x14ac:dyDescent="0.25">
      <c r="A205" s="152"/>
      <c r="B205" s="50"/>
      <c r="C205" s="63"/>
      <c r="D205" s="100"/>
      <c r="E205" s="178"/>
      <c r="F205" s="103"/>
      <c r="G205" s="51"/>
      <c r="H205" s="52"/>
      <c r="I205" s="53"/>
      <c r="J205" s="99"/>
      <c r="K205" s="153"/>
      <c r="L205" s="60"/>
      <c r="M205" s="58"/>
      <c r="N205" s="58"/>
      <c r="O205" s="61"/>
      <c r="P205" s="61"/>
      <c r="Q205" s="62"/>
      <c r="R205" s="155"/>
      <c r="S205" s="131"/>
      <c r="T205" s="130"/>
    </row>
    <row r="206" spans="1:20" s="7" customFormat="1" x14ac:dyDescent="0.25">
      <c r="A206" s="152" t="str">
        <f>IF(J206&lt;&gt;"",1+MAX($A$18:A204),"")</f>
        <v/>
      </c>
      <c r="B206" s="50"/>
      <c r="C206" s="63"/>
      <c r="D206" s="100"/>
      <c r="E206" s="178"/>
      <c r="F206" s="172" t="s">
        <v>223</v>
      </c>
      <c r="G206" s="51"/>
      <c r="H206" s="52"/>
      <c r="I206" s="53"/>
      <c r="J206" s="99"/>
      <c r="K206" s="153"/>
      <c r="L206" s="60"/>
      <c r="M206" s="58"/>
      <c r="N206" s="58"/>
      <c r="O206" s="61"/>
      <c r="P206" s="61"/>
      <c r="Q206" s="62"/>
      <c r="R206" s="155"/>
      <c r="S206" s="131"/>
      <c r="T206" s="130"/>
    </row>
    <row r="207" spans="1:20" s="7" customFormat="1" ht="31.2" x14ac:dyDescent="0.25">
      <c r="A207" s="152">
        <f>IF(J207&lt;&gt;"",1+MAX($A$18:A205),"")</f>
        <v>99</v>
      </c>
      <c r="B207" s="50"/>
      <c r="C207" s="50"/>
      <c r="D207" s="100" t="s">
        <v>35</v>
      </c>
      <c r="E207" s="178" t="s">
        <v>104</v>
      </c>
      <c r="F207" s="175" t="s">
        <v>757</v>
      </c>
      <c r="G207" s="51">
        <f>2387*10</f>
        <v>23870</v>
      </c>
      <c r="H207" s="52">
        <f>IF(VLOOKUP(J207,'HOURLY RATES'!B$116:C$124,2,0)=0,$J$3,VLOOKUP(J207,'HOURLY RATES'!B$116:C$124,2,0))</f>
        <v>0.05</v>
      </c>
      <c r="I207" s="53">
        <f t="shared" ref="I207" si="229">(G207*(1+H207))</f>
        <v>25063.5</v>
      </c>
      <c r="J207" s="99" t="s">
        <v>224</v>
      </c>
      <c r="K207" s="153">
        <v>0.02</v>
      </c>
      <c r="L207" s="60">
        <f t="shared" ref="L207:L208" si="230">K207*I207</f>
        <v>501.27000000000004</v>
      </c>
      <c r="M207" s="58">
        <f>IF(VLOOKUP(E207,'HOURLY RATES'!C$6:D$105,2,0)=0,$E$3,VLOOKUP(E207,'HOURLY RATES'!C$6:D$105,2,0))</f>
        <v>54</v>
      </c>
      <c r="N207" s="58">
        <f t="shared" ref="N207:N208" si="231">M207*L207</f>
        <v>27068.58</v>
      </c>
      <c r="O207" s="61">
        <v>0.4</v>
      </c>
      <c r="P207" s="61">
        <f t="shared" ref="P207" si="232">O207*I207</f>
        <v>10025.400000000001</v>
      </c>
      <c r="Q207" s="62">
        <f t="shared" ref="Q207" si="233">P207+N207</f>
        <v>37093.980000000003</v>
      </c>
      <c r="R207" s="155"/>
      <c r="S207" s="131">
        <f>((((N207*(1+$D$7))+(P207*(1+$D$5+$D$6)))*(1+$D$8)))/I207</f>
        <v>1.8309463199999998</v>
      </c>
      <c r="T207" s="130">
        <f t="shared" ref="T207" si="234">S207*I207</f>
        <v>45889.923091319994</v>
      </c>
    </row>
    <row r="208" spans="1:20" s="7" customFormat="1" ht="31.2" x14ac:dyDescent="0.25">
      <c r="A208" s="152">
        <f>IF(J208&lt;&gt;"",1+MAX($A$18:A206),"")</f>
        <v>99</v>
      </c>
      <c r="B208" s="50"/>
      <c r="C208" s="50"/>
      <c r="D208" s="100" t="s">
        <v>35</v>
      </c>
      <c r="E208" s="178" t="s">
        <v>104</v>
      </c>
      <c r="F208" s="175" t="s">
        <v>759</v>
      </c>
      <c r="G208" s="51">
        <f>409*10</f>
        <v>4090</v>
      </c>
      <c r="H208" s="52">
        <f>IF(VLOOKUP(J208,'HOURLY RATES'!B$116:C$124,2,0)=0,$J$3,VLOOKUP(J208,'HOURLY RATES'!B$116:C$124,2,0))</f>
        <v>0.05</v>
      </c>
      <c r="I208" s="53">
        <f t="shared" si="223"/>
        <v>4294.5</v>
      </c>
      <c r="J208" s="99" t="s">
        <v>224</v>
      </c>
      <c r="K208" s="153">
        <v>0.02</v>
      </c>
      <c r="L208" s="60">
        <f t="shared" si="230"/>
        <v>85.89</v>
      </c>
      <c r="M208" s="58">
        <f>IF(VLOOKUP(E208,'HOURLY RATES'!C$6:D$105,2,0)=0,$E$3,VLOOKUP(E208,'HOURLY RATES'!C$6:D$105,2,0))</f>
        <v>54</v>
      </c>
      <c r="N208" s="58">
        <f t="shared" si="231"/>
        <v>4638.0600000000004</v>
      </c>
      <c r="O208" s="61">
        <v>0.4</v>
      </c>
      <c r="P208" s="61">
        <f t="shared" si="226"/>
        <v>1717.8000000000002</v>
      </c>
      <c r="Q208" s="62">
        <f t="shared" si="227"/>
        <v>6355.8600000000006</v>
      </c>
      <c r="R208" s="155"/>
      <c r="S208" s="131">
        <f>((((N208*(1+$D$7))+(P208*(1+$D$5+$D$6)))*(1+$D$8)))/I208</f>
        <v>1.8309463199999998</v>
      </c>
      <c r="T208" s="130">
        <f t="shared" si="228"/>
        <v>7862.9989712399993</v>
      </c>
    </row>
    <row r="209" spans="1:22" s="7" customFormat="1" x14ac:dyDescent="0.25">
      <c r="A209" s="152"/>
      <c r="B209" s="50"/>
      <c r="C209" s="63"/>
      <c r="D209" s="100"/>
      <c r="E209" s="178"/>
      <c r="F209" s="103"/>
      <c r="G209" s="51"/>
      <c r="H209" s="52"/>
      <c r="I209" s="53"/>
      <c r="J209" s="99"/>
      <c r="K209" s="153"/>
      <c r="L209" s="60"/>
      <c r="M209" s="58"/>
      <c r="N209" s="58"/>
      <c r="O209" s="61"/>
      <c r="P209" s="61"/>
      <c r="Q209" s="62"/>
      <c r="R209" s="155"/>
      <c r="S209" s="131"/>
      <c r="T209" s="130"/>
    </row>
    <row r="210" spans="1:22" s="7" customFormat="1" x14ac:dyDescent="0.25">
      <c r="A210" s="152" t="str">
        <f>IF(J210&lt;&gt;"",1+MAX($A$18:A208),"")</f>
        <v/>
      </c>
      <c r="B210" s="50"/>
      <c r="C210" s="63"/>
      <c r="D210" s="100"/>
      <c r="E210" s="178"/>
      <c r="F210" s="172" t="s">
        <v>723</v>
      </c>
      <c r="G210" s="51"/>
      <c r="H210" s="52"/>
      <c r="I210" s="53"/>
      <c r="J210" s="99"/>
      <c r="K210" s="153"/>
      <c r="L210" s="60"/>
      <c r="M210" s="58"/>
      <c r="N210" s="58"/>
      <c r="O210" s="61"/>
      <c r="P210" s="61"/>
      <c r="Q210" s="62"/>
      <c r="R210" s="155"/>
      <c r="S210" s="131"/>
      <c r="T210" s="130"/>
    </row>
    <row r="211" spans="1:22" s="7" customFormat="1" ht="31.2" x14ac:dyDescent="0.25">
      <c r="A211" s="152">
        <f>IF(J211&lt;&gt;"",1+MAX($A$18:A210),"")</f>
        <v>100</v>
      </c>
      <c r="B211" s="50"/>
      <c r="C211" s="50"/>
      <c r="D211" s="100" t="s">
        <v>35</v>
      </c>
      <c r="E211" s="178" t="s">
        <v>104</v>
      </c>
      <c r="F211" s="175" t="s">
        <v>804</v>
      </c>
      <c r="G211" s="51">
        <f>12*10</f>
        <v>120</v>
      </c>
      <c r="H211" s="52">
        <f>IF(VLOOKUP(J211,'HOURLY RATES'!B$116:C$124,2,0)=0,$J$3,VLOOKUP(J211,'HOURLY RATES'!B$116:C$124,2,0))</f>
        <v>0</v>
      </c>
      <c r="I211" s="53">
        <f t="shared" ref="I211:I213" si="235">(G211*(1+H211))</f>
        <v>120</v>
      </c>
      <c r="J211" s="99" t="s">
        <v>225</v>
      </c>
      <c r="K211" s="153">
        <v>1.23</v>
      </c>
      <c r="L211" s="60">
        <f t="shared" ref="L211:L213" si="236">K211*I211</f>
        <v>147.6</v>
      </c>
      <c r="M211" s="58">
        <f>IF(VLOOKUP(E211,'HOURLY RATES'!C$6:D$105,2,0)=0,$E$3,VLOOKUP(E211,'HOURLY RATES'!C$6:D$105,2,0))</f>
        <v>54</v>
      </c>
      <c r="N211" s="58">
        <f t="shared" ref="N211:N213" si="237">M211*L211</f>
        <v>7970.4</v>
      </c>
      <c r="O211" s="61">
        <v>28</v>
      </c>
      <c r="P211" s="61">
        <f t="shared" ref="P211:P213" si="238">O211*I211</f>
        <v>3360</v>
      </c>
      <c r="Q211" s="62">
        <f t="shared" ref="Q211:Q213" si="239">P211+N211</f>
        <v>11330.4</v>
      </c>
      <c r="R211" s="155"/>
      <c r="S211" s="131">
        <f>((((N211*(1+$D$7))+(P211*(1+$D$5+$D$6)))*(1+$D$8)))/I211</f>
        <v>116.98500239999998</v>
      </c>
      <c r="T211" s="130">
        <f t="shared" ref="T211:T213" si="240">S211*I211</f>
        <v>14038.200287999998</v>
      </c>
    </row>
    <row r="212" spans="1:22" s="7" customFormat="1" ht="31.2" x14ac:dyDescent="0.25">
      <c r="A212" s="152">
        <f>IF(J212&lt;&gt;"",1+MAX($A$18:A211),"")</f>
        <v>101</v>
      </c>
      <c r="B212" s="50"/>
      <c r="C212" s="50"/>
      <c r="D212" s="100" t="s">
        <v>35</v>
      </c>
      <c r="E212" s="178" t="s">
        <v>104</v>
      </c>
      <c r="F212" s="175" t="s">
        <v>805</v>
      </c>
      <c r="G212" s="51">
        <f>217*10</f>
        <v>2170</v>
      </c>
      <c r="H212" s="52">
        <f>IF(VLOOKUP(J212,'HOURLY RATES'!B$116:C$124,2,0)=0,$J$3,VLOOKUP(J212,'HOURLY RATES'!B$116:C$124,2,0))</f>
        <v>0.05</v>
      </c>
      <c r="I212" s="53">
        <f t="shared" si="235"/>
        <v>2278.5</v>
      </c>
      <c r="J212" s="99" t="s">
        <v>226</v>
      </c>
      <c r="K212" s="153">
        <v>1.7999999999999999E-2</v>
      </c>
      <c r="L212" s="60">
        <f t="shared" si="236"/>
        <v>41.012999999999998</v>
      </c>
      <c r="M212" s="58">
        <f>IF(VLOOKUP(E212,'HOURLY RATES'!C$6:D$105,2,0)=0,$E$3,VLOOKUP(E212,'HOURLY RATES'!C$6:D$105,2,0))</f>
        <v>54</v>
      </c>
      <c r="N212" s="58">
        <f t="shared" si="237"/>
        <v>2214.7019999999998</v>
      </c>
      <c r="O212" s="61">
        <v>0.8</v>
      </c>
      <c r="P212" s="61">
        <f t="shared" si="238"/>
        <v>1822.8000000000002</v>
      </c>
      <c r="Q212" s="62">
        <f t="shared" si="239"/>
        <v>4037.502</v>
      </c>
      <c r="R212" s="155"/>
      <c r="S212" s="131">
        <f>((((N212*(1+$D$7))+(P212*(1+$D$5+$D$6)))*(1+$D$8)))/I212</f>
        <v>2.2149086399999995</v>
      </c>
      <c r="T212" s="130">
        <f t="shared" si="240"/>
        <v>5046.6693362399992</v>
      </c>
    </row>
    <row r="213" spans="1:22" s="7" customFormat="1" ht="31.2" x14ac:dyDescent="0.25">
      <c r="A213" s="152">
        <f>IF(J213&lt;&gt;"",1+MAX($A$18:A212),"")</f>
        <v>102</v>
      </c>
      <c r="B213" s="50"/>
      <c r="C213" s="50"/>
      <c r="D213" s="100" t="s">
        <v>35</v>
      </c>
      <c r="E213" s="178" t="s">
        <v>104</v>
      </c>
      <c r="F213" s="175" t="s">
        <v>806</v>
      </c>
      <c r="G213" s="51">
        <f>434*10</f>
        <v>4340</v>
      </c>
      <c r="H213" s="52">
        <f>IF(VLOOKUP(J213,'HOURLY RATES'!B$116:C$124,2,0)=0,$J$3,VLOOKUP(J213,'HOURLY RATES'!B$116:C$124,2,0))</f>
        <v>0.05</v>
      </c>
      <c r="I213" s="53">
        <f t="shared" si="235"/>
        <v>4557</v>
      </c>
      <c r="J213" s="99" t="s">
        <v>226</v>
      </c>
      <c r="K213" s="153">
        <v>1.7999999999999999E-2</v>
      </c>
      <c r="L213" s="60">
        <f t="shared" si="236"/>
        <v>82.025999999999996</v>
      </c>
      <c r="M213" s="58">
        <f>IF(VLOOKUP(E213,'HOURLY RATES'!C$6:D$105,2,0)=0,$E$3,VLOOKUP(E213,'HOURLY RATES'!C$6:D$105,2,0))</f>
        <v>54</v>
      </c>
      <c r="N213" s="58">
        <f t="shared" si="237"/>
        <v>4429.4039999999995</v>
      </c>
      <c r="O213" s="61">
        <v>0.8</v>
      </c>
      <c r="P213" s="61">
        <f t="shared" si="238"/>
        <v>3645.6000000000004</v>
      </c>
      <c r="Q213" s="62">
        <f t="shared" si="239"/>
        <v>8075.0039999999999</v>
      </c>
      <c r="R213" s="155"/>
      <c r="S213" s="131">
        <f>((((N213*(1+$D$7))+(P213*(1+$D$5+$D$6)))*(1+$D$8)))/I213</f>
        <v>2.2149086399999995</v>
      </c>
      <c r="T213" s="130">
        <f t="shared" si="240"/>
        <v>10093.338672479998</v>
      </c>
    </row>
    <row r="214" spans="1:22" s="7" customFormat="1" x14ac:dyDescent="0.25">
      <c r="A214" s="215" t="str">
        <f>IF(J214&lt;&gt;"",1+MAX($A$18:A213),"")</f>
        <v/>
      </c>
      <c r="B214" s="225"/>
      <c r="C214" s="225"/>
      <c r="D214" s="101"/>
      <c r="E214" s="226"/>
      <c r="F214" s="227"/>
      <c r="G214" s="228"/>
      <c r="H214" s="229"/>
      <c r="I214" s="230"/>
      <c r="J214" s="102"/>
      <c r="K214" s="76"/>
      <c r="L214" s="231"/>
      <c r="M214" s="73"/>
      <c r="N214" s="232"/>
      <c r="O214" s="233"/>
      <c r="P214" s="233"/>
      <c r="Q214" s="234"/>
      <c r="R214" s="155"/>
      <c r="S214" s="131"/>
      <c r="T214" s="130"/>
    </row>
    <row r="215" spans="1:22" s="7" customFormat="1" x14ac:dyDescent="0.25">
      <c r="A215" s="304" t="s">
        <v>54</v>
      </c>
      <c r="B215" s="304"/>
      <c r="C215" s="305"/>
      <c r="D215" s="306"/>
      <c r="E215" s="306"/>
      <c r="F215" s="306"/>
      <c r="G215" s="306"/>
      <c r="H215" s="306"/>
      <c r="I215" s="306"/>
      <c r="J215" s="307"/>
      <c r="K215" s="236" t="s">
        <v>228</v>
      </c>
      <c r="L215" s="237">
        <f>SUM(L18:L214)</f>
        <v>9613.1612964640517</v>
      </c>
      <c r="M215" s="235" t="s">
        <v>229</v>
      </c>
      <c r="N215" s="238">
        <f>SUM(N18:N214)</f>
        <v>519110.71000905853</v>
      </c>
      <c r="O215" s="235" t="s">
        <v>230</v>
      </c>
      <c r="P215" s="238">
        <f>SUM(P18:P214)</f>
        <v>205926.4179</v>
      </c>
      <c r="Q215" s="239">
        <f>SUM(Q18:Q214)</f>
        <v>725037.12790905847</v>
      </c>
      <c r="R215" s="239">
        <f>SUM(R18:R214)</f>
        <v>725037.12790905847</v>
      </c>
      <c r="S215" s="132"/>
      <c r="T215" s="133">
        <f>SUM(T18:T214)</f>
        <v>897667.76949706115</v>
      </c>
      <c r="U215" s="1"/>
      <c r="V215" s="1"/>
    </row>
    <row r="216" spans="1:22" s="7" customFormat="1" ht="16.2" thickBot="1" x14ac:dyDescent="0.3">
      <c r="A216" s="302" t="s">
        <v>55</v>
      </c>
      <c r="B216" s="303"/>
      <c r="C216" s="38"/>
      <c r="D216" s="38"/>
      <c r="E216" s="105"/>
      <c r="F216" s="39"/>
      <c r="G216" s="40"/>
      <c r="H216" s="40"/>
      <c r="I216" s="40"/>
      <c r="J216" s="38"/>
      <c r="K216" s="38"/>
      <c r="L216" s="38"/>
      <c r="M216" s="77">
        <f>D5</f>
        <v>6.9720000000000004E-2</v>
      </c>
      <c r="N216" s="78"/>
      <c r="O216" s="78"/>
      <c r="P216" s="78">
        <f>P215*M216</f>
        <v>14357.189855988001</v>
      </c>
      <c r="Q216" s="78">
        <f>P216+N216</f>
        <v>14357.189855988001</v>
      </c>
      <c r="R216" s="160">
        <f>Q216</f>
        <v>14357.189855988001</v>
      </c>
      <c r="S216" s="132"/>
      <c r="T216" s="132"/>
      <c r="U216" s="1"/>
      <c r="V216" s="1"/>
    </row>
    <row r="217" spans="1:22" s="7" customFormat="1" ht="16.8" thickTop="1" thickBot="1" x14ac:dyDescent="0.3">
      <c r="A217" s="161" t="s">
        <v>231</v>
      </c>
      <c r="B217" s="47"/>
      <c r="C217" s="41"/>
      <c r="D217" s="41"/>
      <c r="E217" s="42"/>
      <c r="F217" s="43"/>
      <c r="G217" s="44"/>
      <c r="H217" s="44"/>
      <c r="I217" s="44"/>
      <c r="J217" s="41"/>
      <c r="K217" s="41"/>
      <c r="L217" s="41"/>
      <c r="M217" s="48">
        <f>D6</f>
        <v>0.2</v>
      </c>
      <c r="N217" s="46"/>
      <c r="O217" s="46"/>
      <c r="P217" s="46">
        <f>P215*M217</f>
        <v>41185.283580000003</v>
      </c>
      <c r="Q217" s="46">
        <f>P217+N217</f>
        <v>41185.283580000003</v>
      </c>
      <c r="R217" s="162">
        <f>Q217</f>
        <v>41185.283580000003</v>
      </c>
      <c r="S217" s="132"/>
      <c r="T217" s="132"/>
      <c r="U217" s="1"/>
      <c r="V217" s="1"/>
    </row>
    <row r="218" spans="1:22" s="7" customFormat="1" ht="16.8" thickTop="1" thickBot="1" x14ac:dyDescent="0.3">
      <c r="A218" s="161" t="s">
        <v>232</v>
      </c>
      <c r="B218" s="47"/>
      <c r="C218" s="41"/>
      <c r="D218" s="41"/>
      <c r="E218" s="42"/>
      <c r="F218" s="43"/>
      <c r="G218" s="44"/>
      <c r="H218" s="44"/>
      <c r="I218" s="44"/>
      <c r="J218" s="41"/>
      <c r="K218" s="41"/>
      <c r="L218" s="41"/>
      <c r="M218" s="48">
        <f>D7</f>
        <v>0.2</v>
      </c>
      <c r="N218" s="46">
        <f>N215*M218</f>
        <v>103822.14200181171</v>
      </c>
      <c r="O218" s="46"/>
      <c r="P218" s="46"/>
      <c r="Q218" s="46">
        <f>P218+N218</f>
        <v>103822.14200181171</v>
      </c>
      <c r="R218" s="162">
        <f>Q218</f>
        <v>103822.14200181171</v>
      </c>
      <c r="S218" s="132"/>
      <c r="T218" s="132"/>
      <c r="U218" s="1"/>
      <c r="V218" s="1"/>
    </row>
    <row r="219" spans="1:22" s="7" customFormat="1" ht="16.8" thickTop="1" thickBot="1" x14ac:dyDescent="0.3">
      <c r="A219" s="300" t="s">
        <v>233</v>
      </c>
      <c r="B219" s="301"/>
      <c r="C219" s="41"/>
      <c r="D219" s="41"/>
      <c r="E219" s="42"/>
      <c r="F219" s="43"/>
      <c r="G219" s="44"/>
      <c r="H219" s="44"/>
      <c r="I219" s="44"/>
      <c r="J219" s="41"/>
      <c r="K219" s="41"/>
      <c r="L219" s="41"/>
      <c r="M219" s="45">
        <f>D8</f>
        <v>1.4999999999999999E-2</v>
      </c>
      <c r="N219" s="46">
        <f>(N215+N216+N217+N218)*M219</f>
        <v>9343.9927801630529</v>
      </c>
      <c r="O219" s="46"/>
      <c r="P219" s="46">
        <f>(P215+P216+P217+P218)*M219</f>
        <v>3922.0333700398201</v>
      </c>
      <c r="Q219" s="46">
        <f>P219+N219</f>
        <v>13266.026150202873</v>
      </c>
      <c r="R219" s="162">
        <f>Q219</f>
        <v>13266.026150202873</v>
      </c>
      <c r="S219" s="132"/>
      <c r="T219" s="132"/>
      <c r="U219" s="1"/>
      <c r="V219" s="1"/>
    </row>
    <row r="220" spans="1:22" s="7" customFormat="1" ht="16.2" thickTop="1" x14ac:dyDescent="0.25">
      <c r="A220" s="298" t="s">
        <v>56</v>
      </c>
      <c r="B220" s="299"/>
      <c r="C220" s="163"/>
      <c r="D220" s="163"/>
      <c r="E220" s="164"/>
      <c r="F220" s="165"/>
      <c r="G220" s="166"/>
      <c r="H220" s="166"/>
      <c r="I220" s="166"/>
      <c r="J220" s="163"/>
      <c r="K220" s="163"/>
      <c r="L220" s="163"/>
      <c r="M220" s="167"/>
      <c r="N220" s="168">
        <f>SUM(N215:N219)</f>
        <v>632276.84479103331</v>
      </c>
      <c r="O220" s="167"/>
      <c r="P220" s="168">
        <f>SUM(P215:P219)</f>
        <v>265390.92470602784</v>
      </c>
      <c r="Q220" s="168">
        <f>SUM(Q215:Q219)</f>
        <v>897667.76949706115</v>
      </c>
      <c r="R220" s="169">
        <f>SUM(R215:R219)</f>
        <v>897667.76949706115</v>
      </c>
      <c r="S220" s="132"/>
      <c r="T220" s="133">
        <f>T215</f>
        <v>897667.76949706115</v>
      </c>
      <c r="U220" s="1"/>
      <c r="V220" s="1"/>
    </row>
  </sheetData>
  <autoFilter ref="J1:J220" xr:uid="{00000000-0001-0000-0300-000000000000}"/>
  <mergeCells count="8">
    <mergeCell ref="A219:B219"/>
    <mergeCell ref="A220:B220"/>
    <mergeCell ref="A2:R2"/>
    <mergeCell ref="B3:E3"/>
    <mergeCell ref="E16:F16"/>
    <mergeCell ref="A215:B215"/>
    <mergeCell ref="C215:J215"/>
    <mergeCell ref="A216:B216"/>
  </mergeCells>
  <dataValidations disablePrompts="1" count="1">
    <dataValidation type="list" allowBlank="1" showInputMessage="1" showErrorMessage="1" sqref="E63" xr:uid="{0647CF55-A45B-43E4-ABF4-C0B211192B5D}">
      <formula1>#REF!</formula1>
    </dataValidation>
  </dataValidations>
  <hyperlinks>
    <hyperlink ref="D3:E3" location="'COST SUMMARY'!A1" display="CLICK HERE TO GO BACK TO COST SUMMARY" xr:uid="{49969836-EEF7-4EBB-A2AA-D11A04BA0F14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disablePrompts="1" count="2">
        <x14:dataValidation type="list" allowBlank="1" showInputMessage="1" showErrorMessage="1" xr:uid="{20A35B95-487D-4FB9-95DC-F7536A79DFFD}">
          <x14:formula1>
            <xm:f>'HOURLY RATES'!$B$116:$B$126</xm:f>
          </x14:formula1>
          <xm:sqref>J19:J105 J107:J213</xm:sqref>
        </x14:dataValidation>
        <x14:dataValidation type="list" allowBlank="1" showInputMessage="1" showErrorMessage="1" xr:uid="{039BEF70-1A86-476F-AFF1-6C0617B21101}">
          <x14:formula1>
            <xm:f>'HOURLY RATES'!$C$6:$C$105</xm:f>
          </x14:formula1>
          <xm:sqref>E21:E32 E60:E62 E54:E57 E47:E51 E34:E36 E39:E44 E117:E213 E65:E105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A465E-AEAA-4D0A-AFC7-73436D9FC5B7}">
  <sheetPr>
    <tabColor theme="5" tint="-0.499984740745262"/>
    <pageSetUpPr fitToPage="1"/>
  </sheetPr>
  <dimension ref="A1:V87"/>
  <sheetViews>
    <sheetView zoomScale="40" zoomScaleNormal="40" zoomScaleSheetLayoutView="70" workbookViewId="0">
      <pane ySplit="1" topLeftCell="A2" activePane="bottomLeft" state="frozen"/>
      <selection pane="bottomLeft" activeCell="F30" sqref="F30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Q82</f>
        <v>4573.2680229054004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P82*D5</f>
        <v>106.53171379200003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P82*D6</f>
        <v>305.59872000000013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N82*D7</f>
        <v>609.05488458107993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83.916800119177196</v>
      </c>
      <c r="F8" s="185" t="s">
        <v>181</v>
      </c>
      <c r="G8" s="120"/>
      <c r="H8" s="184"/>
      <c r="I8" s="137"/>
      <c r="J8" s="138"/>
      <c r="K8" s="142"/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5678.3701413976578</v>
      </c>
      <c r="F9" s="95"/>
      <c r="G9" s="120"/>
      <c r="H9" s="184"/>
      <c r="I9" s="137"/>
      <c r="J9" s="143" t="s">
        <v>183</v>
      </c>
      <c r="K9" s="26">
        <v>310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310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0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808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320.11366290540002</v>
      </c>
      <c r="S18" s="129">
        <f>U18</f>
        <v>4253.1543600000005</v>
      </c>
      <c r="T18" s="130"/>
      <c r="U18" s="13">
        <f>SUM(Q67:Q81)</f>
        <v>4253.1543600000005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0.78762117777777785</v>
      </c>
      <c r="L27" s="60">
        <f t="shared" si="3"/>
        <v>0.78762117777777785</v>
      </c>
      <c r="M27" s="58">
        <f>IF(VLOOKUP(E27,'HOURLY RATES'!C$6:D$105,2,0)=0,$E$3,VLOOKUP(E27,'HOURLY RATES'!C$6:D$105,2,0))</f>
        <v>54</v>
      </c>
      <c r="N27" s="58">
        <f t="shared" si="4"/>
        <v>42.531543600000006</v>
      </c>
      <c r="O27" s="61"/>
      <c r="P27" s="61">
        <f t="shared" si="0"/>
        <v>0</v>
      </c>
      <c r="Q27" s="62">
        <f t="shared" si="5"/>
        <v>42.531543600000006</v>
      </c>
      <c r="R27" s="151"/>
      <c r="S27" s="131">
        <f t="shared" si="1"/>
        <v>51.803420104800004</v>
      </c>
      <c r="T27" s="130">
        <f t="shared" si="6"/>
        <v>51.803420104800004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0.45366979839999999</v>
      </c>
      <c r="L34" s="60">
        <f t="shared" ref="L34:L36" si="8">K34*I34</f>
        <v>0.45366979839999999</v>
      </c>
      <c r="M34" s="58">
        <f>IF(VLOOKUP(E34,'HOURLY RATES'!C$6:D$105,2,0)=0,$E$3,VLOOKUP(E34,'HOURLY RATES'!C$6:D$105,2,0))</f>
        <v>54</v>
      </c>
      <c r="N34" s="58">
        <f t="shared" ref="N34:N36" si="9">M34*L34</f>
        <v>24.498169113599999</v>
      </c>
      <c r="O34" s="61"/>
      <c r="P34" s="61">
        <f t="shared" ref="P34:P36" si="10">O34*I34</f>
        <v>0</v>
      </c>
      <c r="Q34" s="62">
        <f t="shared" ref="Q34:Q36" si="11">P34+N34</f>
        <v>24.498169113599999</v>
      </c>
      <c r="R34" s="151"/>
      <c r="S34" s="131">
        <f>((((N34*(1+$D$7))+(P34*(1+$D$5+$D$6)))*(1+$D$8)))/I34</f>
        <v>29.838769980364795</v>
      </c>
      <c r="T34" s="130">
        <f t="shared" ref="T34:T36" si="12">S34*I34</f>
        <v>29.838769980364795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0.90615816503333346</v>
      </c>
      <c r="L36" s="60">
        <f t="shared" si="8"/>
        <v>0.90615816503333346</v>
      </c>
      <c r="M36" s="58">
        <f>IF(VLOOKUP(E36,'HOURLY RATES'!C$6:D$105,2,0)=0,$E$3,VLOOKUP(E36,'HOURLY RATES'!C$6:D$105,2,0))</f>
        <v>54</v>
      </c>
      <c r="N36" s="58">
        <f t="shared" si="9"/>
        <v>48.932540911800004</v>
      </c>
      <c r="O36" s="61"/>
      <c r="P36" s="61">
        <f t="shared" si="10"/>
        <v>0</v>
      </c>
      <c r="Q36" s="62">
        <f t="shared" si="11"/>
        <v>48.932540911800004</v>
      </c>
      <c r="R36" s="151"/>
      <c r="S36" s="131">
        <f>((((N36*(1+$D$7))+(P36*(1+$D$5+$D$6)))*(1+$D$8)))/I36</f>
        <v>59.599834830572391</v>
      </c>
      <c r="T36" s="130">
        <f t="shared" si="12"/>
        <v>59.599834830572391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1.7327665911111114</v>
      </c>
      <c r="L44" s="60">
        <f t="shared" si="14"/>
        <v>1.7327665911111114</v>
      </c>
      <c r="M44" s="58">
        <f>IF(VLOOKUP(E44,'HOURLY RATES'!C$6:D$105,2,0)=0,$E$3,VLOOKUP(E44,'HOURLY RATES'!C$6:D$105,2,0))</f>
        <v>54</v>
      </c>
      <c r="N44" s="58">
        <f t="shared" si="15"/>
        <v>93.569395920000019</v>
      </c>
      <c r="O44" s="61"/>
      <c r="P44" s="61">
        <f t="shared" si="16"/>
        <v>0</v>
      </c>
      <c r="Q44" s="62">
        <f t="shared" si="5"/>
        <v>93.569395920000019</v>
      </c>
      <c r="R44" s="151"/>
      <c r="S44" s="131">
        <f t="shared" si="17"/>
        <v>113.96752423056002</v>
      </c>
      <c r="T44" s="130">
        <f t="shared" si="18"/>
        <v>113.96752423056002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2.0478150622222224</v>
      </c>
      <c r="L65" s="60">
        <f t="shared" ref="L65" si="34">K65*I65</f>
        <v>2.0478150622222224</v>
      </c>
      <c r="M65" s="58">
        <f>IF(VLOOKUP(E65,'HOURLY RATES'!C$6:D$105,2,0)=0,$E$3,VLOOKUP(E65,'HOURLY RATES'!C$6:D$105,2,0))</f>
        <v>54</v>
      </c>
      <c r="N65" s="58">
        <f t="shared" ref="N65" si="35">M65*L65</f>
        <v>110.58201336</v>
      </c>
      <c r="O65" s="61"/>
      <c r="P65" s="61">
        <f t="shared" ref="P65" si="36">O65*I65</f>
        <v>0</v>
      </c>
      <c r="Q65" s="62">
        <f t="shared" ref="Q65" si="37">P65+N65</f>
        <v>110.58201336</v>
      </c>
      <c r="R65" s="151"/>
      <c r="S65" s="131">
        <f>((((N65*(1+$D$7))+(P65*(1+$D$5+$D$6)))*(1+$D$8)))/I65</f>
        <v>134.68889227247999</v>
      </c>
      <c r="T65" s="130">
        <f>S65*I65</f>
        <v>134.68889227247999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SUM(Q68:Q81)</f>
        <v>4253.1543600000005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4" t="s">
        <v>717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x14ac:dyDescent="0.25">
      <c r="A70" s="152" t="str">
        <f>IF(J70&lt;&gt;"",1+MAX($A$18:A69),"")</f>
        <v/>
      </c>
      <c r="B70" s="50"/>
      <c r="C70" s="63"/>
      <c r="D70" s="100"/>
      <c r="E70" s="178"/>
      <c r="F70" s="172" t="s">
        <v>722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ht="31.2" x14ac:dyDescent="0.25">
      <c r="A71" s="152">
        <f>IF(J71&lt;&gt;"",1+MAX($A$18:A70),"")</f>
        <v>34</v>
      </c>
      <c r="B71" s="50"/>
      <c r="C71" s="50"/>
      <c r="D71" s="100" t="s">
        <v>35</v>
      </c>
      <c r="E71" s="178" t="s">
        <v>104</v>
      </c>
      <c r="F71" s="175" t="s">
        <v>789</v>
      </c>
      <c r="G71" s="51">
        <v>86</v>
      </c>
      <c r="H71" s="52">
        <f>IF(VLOOKUP(J71,'HOURLY RATES'!B$116:C$124,2,0)=0,$J$3,VLOOKUP(J71,'HOURLY RATES'!B$116:C$124,2,0))</f>
        <v>0.05</v>
      </c>
      <c r="I71" s="53">
        <f t="shared" ref="I71" si="38">(G71*(1+H71))</f>
        <v>90.3</v>
      </c>
      <c r="J71" s="99" t="s">
        <v>224</v>
      </c>
      <c r="K71" s="153">
        <v>2.1999999999999999E-2</v>
      </c>
      <c r="L71" s="60">
        <f t="shared" ref="L71" si="39">K71*I71</f>
        <v>1.9865999999999999</v>
      </c>
      <c r="M71" s="58">
        <f>IF(VLOOKUP(E71,'HOURLY RATES'!C$6:D$105,2,0)=0,$E$3,VLOOKUP(E71,'HOURLY RATES'!C$6:D$105,2,0))</f>
        <v>54</v>
      </c>
      <c r="N71" s="58">
        <f t="shared" ref="N71" si="40">M71*L71</f>
        <v>107.2764</v>
      </c>
      <c r="O71" s="61">
        <v>0.4</v>
      </c>
      <c r="P71" s="61">
        <f t="shared" ref="P71" si="41">O71*I71</f>
        <v>36.119999999999997</v>
      </c>
      <c r="Q71" s="62">
        <f t="shared" ref="Q71" si="42">P71+N71</f>
        <v>143.3964</v>
      </c>
      <c r="R71" s="155"/>
      <c r="S71" s="131">
        <f t="shared" ref="S71" si="43">((((N71*(1+$D$7))+(P71*(1+$D$5+$D$6)))*(1+$D$8)))/I71</f>
        <v>1.9624903199999997</v>
      </c>
      <c r="T71" s="130">
        <f t="shared" ref="T71" si="44">S71*I71</f>
        <v>177.21287589599996</v>
      </c>
    </row>
    <row r="72" spans="1:20" s="7" customFormat="1" x14ac:dyDescent="0.25">
      <c r="A72" s="152"/>
      <c r="B72" s="50"/>
      <c r="C72" s="63"/>
      <c r="D72" s="100"/>
      <c r="E72" s="178"/>
      <c r="F72" s="103"/>
      <c r="G72" s="51"/>
      <c r="H72" s="52"/>
      <c r="I72" s="53"/>
      <c r="J72" s="99"/>
      <c r="K72" s="153"/>
      <c r="L72" s="60"/>
      <c r="M72" s="58"/>
      <c r="N72" s="58"/>
      <c r="O72" s="61"/>
      <c r="P72" s="61"/>
      <c r="Q72" s="62"/>
      <c r="R72" s="155"/>
      <c r="S72" s="131"/>
      <c r="T72" s="130"/>
    </row>
    <row r="73" spans="1:20" s="7" customFormat="1" x14ac:dyDescent="0.25">
      <c r="A73" s="152" t="str">
        <f>IF(J73&lt;&gt;"",1+MAX($A$18:A71),"")</f>
        <v/>
      </c>
      <c r="B73" s="50"/>
      <c r="C73" s="63"/>
      <c r="D73" s="100"/>
      <c r="E73" s="178"/>
      <c r="F73" s="172" t="s">
        <v>223</v>
      </c>
      <c r="G73" s="51"/>
      <c r="H73" s="52"/>
      <c r="I73" s="53"/>
      <c r="J73" s="99"/>
      <c r="K73" s="153"/>
      <c r="L73" s="60"/>
      <c r="M73" s="58"/>
      <c r="N73" s="58"/>
      <c r="O73" s="61"/>
      <c r="P73" s="61"/>
      <c r="Q73" s="62"/>
      <c r="R73" s="155"/>
      <c r="S73" s="131"/>
      <c r="T73" s="130"/>
    </row>
    <row r="74" spans="1:20" s="7" customFormat="1" ht="31.2" x14ac:dyDescent="0.25">
      <c r="A74" s="152">
        <f>IF(J74&lt;&gt;"",1+MAX($A$18:A73),"")</f>
        <v>35</v>
      </c>
      <c r="B74" s="50"/>
      <c r="C74" s="50"/>
      <c r="D74" s="100" t="s">
        <v>35</v>
      </c>
      <c r="E74" s="178" t="s">
        <v>104</v>
      </c>
      <c r="F74" s="175" t="s">
        <v>769</v>
      </c>
      <c r="G74" s="51">
        <v>889</v>
      </c>
      <c r="H74" s="52">
        <f>IF(VLOOKUP(J74,'HOURLY RATES'!B$116:C$124,2,0)=0,$J$3,VLOOKUP(J74,'HOURLY RATES'!B$116:C$124,2,0))</f>
        <v>0.05</v>
      </c>
      <c r="I74" s="53">
        <f t="shared" ref="I74:I75" si="45">(G74*(1+H74))</f>
        <v>933.45</v>
      </c>
      <c r="J74" s="99" t="s">
        <v>224</v>
      </c>
      <c r="K74" s="153">
        <v>0.02</v>
      </c>
      <c r="L74" s="60">
        <f t="shared" ref="L74:L75" si="46">K74*I74</f>
        <v>18.669</v>
      </c>
      <c r="M74" s="58">
        <f>IF(VLOOKUP(E74,'HOURLY RATES'!C$6:D$105,2,0)=0,$E$3,VLOOKUP(E74,'HOURLY RATES'!C$6:D$105,2,0))</f>
        <v>54</v>
      </c>
      <c r="N74" s="58">
        <f t="shared" ref="N74:N75" si="47">M74*L74</f>
        <v>1008.126</v>
      </c>
      <c r="O74" s="61">
        <v>0.4</v>
      </c>
      <c r="P74" s="61">
        <f t="shared" ref="P74:P75" si="48">O74*I74</f>
        <v>373.38000000000005</v>
      </c>
      <c r="Q74" s="62">
        <f t="shared" ref="Q74:Q75" si="49">P74+N74</f>
        <v>1381.5060000000001</v>
      </c>
      <c r="R74" s="155"/>
      <c r="S74" s="131">
        <f t="shared" ref="S74:S75" si="50">((((N74*(1+$D$7))+(P74*(1+$D$5+$D$6)))*(1+$D$8)))/I74</f>
        <v>1.8309463199999996</v>
      </c>
      <c r="T74" s="130">
        <f t="shared" ref="T74:T75" si="51">S74*I74</f>
        <v>1709.0968424039997</v>
      </c>
    </row>
    <row r="75" spans="1:20" s="7" customFormat="1" ht="31.2" x14ac:dyDescent="0.25">
      <c r="A75" s="152">
        <f>IF(J75&lt;&gt;"",1+MAX($A$18:A74),"")</f>
        <v>36</v>
      </c>
      <c r="B75" s="50"/>
      <c r="C75" s="50"/>
      <c r="D75" s="100" t="s">
        <v>35</v>
      </c>
      <c r="E75" s="178" t="s">
        <v>104</v>
      </c>
      <c r="F75" s="175" t="s">
        <v>782</v>
      </c>
      <c r="G75" s="51">
        <v>176</v>
      </c>
      <c r="H75" s="52">
        <f>IF(VLOOKUP(J75,'HOURLY RATES'!B$116:C$124,2,0)=0,$J$3,VLOOKUP(J75,'HOURLY RATES'!B$116:C$124,2,0))</f>
        <v>0.05</v>
      </c>
      <c r="I75" s="53">
        <f t="shared" si="45"/>
        <v>184.8</v>
      </c>
      <c r="J75" s="99" t="s">
        <v>224</v>
      </c>
      <c r="K75" s="153">
        <v>0.02</v>
      </c>
      <c r="L75" s="60">
        <f t="shared" si="46"/>
        <v>3.6960000000000002</v>
      </c>
      <c r="M75" s="58">
        <f>IF(VLOOKUP(E75,'HOURLY RATES'!C$6:D$105,2,0)=0,$E$3,VLOOKUP(E75,'HOURLY RATES'!C$6:D$105,2,0))</f>
        <v>54</v>
      </c>
      <c r="N75" s="58">
        <f t="shared" si="47"/>
        <v>199.584</v>
      </c>
      <c r="O75" s="61">
        <v>0.4</v>
      </c>
      <c r="P75" s="61">
        <f t="shared" si="48"/>
        <v>73.92</v>
      </c>
      <c r="Q75" s="62">
        <f t="shared" si="49"/>
        <v>273.50400000000002</v>
      </c>
      <c r="R75" s="155"/>
      <c r="S75" s="131">
        <f t="shared" si="50"/>
        <v>1.8309463199999998</v>
      </c>
      <c r="T75" s="130">
        <f t="shared" si="51"/>
        <v>338.35887993599999</v>
      </c>
    </row>
    <row r="76" spans="1:20" s="7" customFormat="1" x14ac:dyDescent="0.25">
      <c r="A76" s="152"/>
      <c r="B76" s="50"/>
      <c r="C76" s="63"/>
      <c r="D76" s="100"/>
      <c r="E76" s="178"/>
      <c r="F76" s="103"/>
      <c r="G76" s="51"/>
      <c r="H76" s="52"/>
      <c r="I76" s="53"/>
      <c r="J76" s="99"/>
      <c r="K76" s="153"/>
      <c r="L76" s="60"/>
      <c r="M76" s="58"/>
      <c r="N76" s="58"/>
      <c r="O76" s="61"/>
      <c r="P76" s="61"/>
      <c r="Q76" s="62"/>
      <c r="R76" s="155"/>
      <c r="S76" s="131"/>
      <c r="T76" s="130"/>
    </row>
    <row r="77" spans="1:20" s="7" customFormat="1" x14ac:dyDescent="0.25">
      <c r="A77" s="152" t="str">
        <f>IF(J77&lt;&gt;"",1+MAX($A$18:A75),"")</f>
        <v/>
      </c>
      <c r="B77" s="109"/>
      <c r="C77" s="110"/>
      <c r="D77" s="100"/>
      <c r="E77" s="179"/>
      <c r="F77" s="172" t="s">
        <v>725</v>
      </c>
      <c r="G77" s="112"/>
      <c r="H77" s="113"/>
      <c r="I77" s="114"/>
      <c r="J77" s="99"/>
      <c r="K77" s="153"/>
      <c r="L77" s="156"/>
      <c r="M77" s="157"/>
      <c r="N77" s="157"/>
      <c r="O77" s="158"/>
      <c r="P77" s="158"/>
      <c r="Q77" s="159"/>
      <c r="R77" s="155"/>
      <c r="S77" s="131"/>
      <c r="T77" s="130"/>
    </row>
    <row r="78" spans="1:20" s="7" customFormat="1" ht="46.8" x14ac:dyDescent="0.25">
      <c r="A78" s="152">
        <f>IF(J78&lt;&gt;"",1+MAX($A$18:A77),"")</f>
        <v>37</v>
      </c>
      <c r="B78" s="109"/>
      <c r="C78" s="109"/>
      <c r="D78" s="100" t="s">
        <v>35</v>
      </c>
      <c r="E78" s="179" t="s">
        <v>86</v>
      </c>
      <c r="F78" s="176" t="s">
        <v>779</v>
      </c>
      <c r="G78" s="112">
        <v>692</v>
      </c>
      <c r="H78" s="113">
        <v>0.05</v>
      </c>
      <c r="I78" s="114">
        <f t="shared" ref="I78:I80" si="52">(G78*(1+H78))</f>
        <v>726.6</v>
      </c>
      <c r="J78" s="99" t="s">
        <v>224</v>
      </c>
      <c r="K78" s="153">
        <v>0.02</v>
      </c>
      <c r="L78" s="156">
        <f t="shared" ref="L78:L80" si="53">K78*I78</f>
        <v>14.532</v>
      </c>
      <c r="M78" s="58">
        <f>IF(VLOOKUP(E78,'HOURLY RATES'!C$6:D$105,2,0)=0,$E$3,VLOOKUP(E78,'HOURLY RATES'!C$6:D$105,2,0))</f>
        <v>54</v>
      </c>
      <c r="N78" s="157">
        <f t="shared" ref="N78:N80" si="54">M78*L78</f>
        <v>784.72799999999995</v>
      </c>
      <c r="O78" s="158">
        <v>0.8</v>
      </c>
      <c r="P78" s="158">
        <f t="shared" ref="P78:P80" si="55">O78*I78</f>
        <v>581.28000000000009</v>
      </c>
      <c r="Q78" s="159">
        <f t="shared" ref="Q78:Q80" si="56">P78+N78</f>
        <v>1366.008</v>
      </c>
      <c r="R78" s="155"/>
      <c r="S78" s="131">
        <f>((((N78*(1+$D$7))+(P78*(1+$D$5+$D$6)))*(1+$D$8)))/I78</f>
        <v>2.3464526399999999</v>
      </c>
      <c r="T78" s="130">
        <f t="shared" ref="T78:T80" si="57">S78*I78</f>
        <v>1704.9324882240001</v>
      </c>
    </row>
    <row r="79" spans="1:20" s="7" customFormat="1" ht="46.8" x14ac:dyDescent="0.25">
      <c r="A79" s="152">
        <f>IF(J79&lt;&gt;"",1+MAX($A$18:A78),"")</f>
        <v>38</v>
      </c>
      <c r="B79" s="109"/>
      <c r="C79" s="109"/>
      <c r="D79" s="100" t="s">
        <v>35</v>
      </c>
      <c r="E79" s="179" t="s">
        <v>86</v>
      </c>
      <c r="F79" s="176" t="s">
        <v>780</v>
      </c>
      <c r="G79" s="112">
        <f>26+101</f>
        <v>127</v>
      </c>
      <c r="H79" s="113">
        <v>0.05</v>
      </c>
      <c r="I79" s="114">
        <f t="shared" si="52"/>
        <v>133.35</v>
      </c>
      <c r="J79" s="99" t="s">
        <v>224</v>
      </c>
      <c r="K79" s="153">
        <v>0.02</v>
      </c>
      <c r="L79" s="156">
        <f t="shared" si="53"/>
        <v>2.6669999999999998</v>
      </c>
      <c r="M79" s="58">
        <f>IF(VLOOKUP(E79,'HOURLY RATES'!C$6:D$105,2,0)=0,$E$3,VLOOKUP(E79,'HOURLY RATES'!C$6:D$105,2,0))</f>
        <v>54</v>
      </c>
      <c r="N79" s="157">
        <f t="shared" si="54"/>
        <v>144.018</v>
      </c>
      <c r="O79" s="158">
        <v>0.8</v>
      </c>
      <c r="P79" s="158">
        <f t="shared" si="55"/>
        <v>106.68</v>
      </c>
      <c r="Q79" s="159">
        <f t="shared" si="56"/>
        <v>250.69800000000001</v>
      </c>
      <c r="R79" s="155"/>
      <c r="S79" s="131">
        <f t="shared" ref="S79:S80" si="58">((((N79*(1+$D$7))+(P79*(1+$D$5+$D$6)))*(1+$D$8)))/I79</f>
        <v>2.3464526399999994</v>
      </c>
      <c r="T79" s="130">
        <f t="shared" si="57"/>
        <v>312.89945954399991</v>
      </c>
    </row>
    <row r="80" spans="1:20" s="7" customFormat="1" ht="46.8" x14ac:dyDescent="0.25">
      <c r="A80" s="152">
        <f>IF(J80&lt;&gt;"",1+MAX($A$18:A79),"")</f>
        <v>39</v>
      </c>
      <c r="B80" s="109"/>
      <c r="C80" s="109"/>
      <c r="D80" s="100" t="s">
        <v>35</v>
      </c>
      <c r="E80" s="179" t="s">
        <v>86</v>
      </c>
      <c r="F80" s="176" t="s">
        <v>790</v>
      </c>
      <c r="G80" s="112">
        <v>424.54</v>
      </c>
      <c r="H80" s="113">
        <v>0.05</v>
      </c>
      <c r="I80" s="114">
        <f t="shared" si="52"/>
        <v>445.76700000000005</v>
      </c>
      <c r="J80" s="99" t="s">
        <v>224</v>
      </c>
      <c r="K80" s="153">
        <v>0.02</v>
      </c>
      <c r="L80" s="156">
        <f t="shared" si="53"/>
        <v>8.9153400000000005</v>
      </c>
      <c r="M80" s="58">
        <f>IF(VLOOKUP(E80,'HOURLY RATES'!C$6:D$105,2,0)=0,$E$3,VLOOKUP(E80,'HOURLY RATES'!C$6:D$105,2,0))</f>
        <v>54</v>
      </c>
      <c r="N80" s="157">
        <f t="shared" si="54"/>
        <v>481.42836</v>
      </c>
      <c r="O80" s="158">
        <v>0.8</v>
      </c>
      <c r="P80" s="158">
        <f t="shared" si="55"/>
        <v>356.61360000000008</v>
      </c>
      <c r="Q80" s="159">
        <f t="shared" si="56"/>
        <v>838.04196000000002</v>
      </c>
      <c r="R80" s="155"/>
      <c r="S80" s="131">
        <f t="shared" si="58"/>
        <v>2.3464526399999994</v>
      </c>
      <c r="T80" s="130">
        <f t="shared" si="57"/>
        <v>1045.9711539748798</v>
      </c>
    </row>
    <row r="81" spans="1:22" s="7" customFormat="1" x14ac:dyDescent="0.25">
      <c r="A81" s="152" t="str">
        <f>IF(J81&lt;&gt;"",1+MAX($A$18:A80),"")</f>
        <v/>
      </c>
      <c r="B81" s="50"/>
      <c r="C81" s="50"/>
      <c r="D81" s="100"/>
      <c r="E81" s="178"/>
      <c r="F81" s="175" t="s">
        <v>222</v>
      </c>
      <c r="G81" s="51"/>
      <c r="H81" s="52"/>
      <c r="I81" s="53"/>
      <c r="J81" s="99"/>
      <c r="K81" s="153"/>
      <c r="L81" s="60"/>
      <c r="M81" s="58"/>
      <c r="N81" s="58"/>
      <c r="O81" s="61"/>
      <c r="P81" s="61"/>
      <c r="Q81" s="62"/>
      <c r="R81" s="155"/>
      <c r="S81" s="131"/>
      <c r="T81" s="130"/>
    </row>
    <row r="82" spans="1:22" s="7" customFormat="1" x14ac:dyDescent="0.25">
      <c r="A82" s="304" t="s">
        <v>54</v>
      </c>
      <c r="B82" s="304"/>
      <c r="C82" s="305"/>
      <c r="D82" s="306"/>
      <c r="E82" s="306"/>
      <c r="F82" s="306"/>
      <c r="G82" s="306"/>
      <c r="H82" s="306"/>
      <c r="I82" s="306"/>
      <c r="J82" s="307"/>
      <c r="K82" s="236" t="s">
        <v>228</v>
      </c>
      <c r="L82" s="237">
        <f>SUM(L18:L81)</f>
        <v>56.393970794544451</v>
      </c>
      <c r="M82" s="235" t="s">
        <v>229</v>
      </c>
      <c r="N82" s="238">
        <f>SUM(N18:N81)</f>
        <v>3045.2744229053997</v>
      </c>
      <c r="O82" s="235" t="s">
        <v>230</v>
      </c>
      <c r="P82" s="238">
        <f>SUM(P18:P81)</f>
        <v>1527.9936000000005</v>
      </c>
      <c r="Q82" s="239">
        <f>SUM(Q18:Q81)</f>
        <v>4573.2680229054004</v>
      </c>
      <c r="R82" s="239">
        <f>SUM(R18:R81)</f>
        <v>4573.2680229054004</v>
      </c>
      <c r="S82" s="132"/>
      <c r="T82" s="133">
        <f>SUM(T18:T81)</f>
        <v>5678.3701413976569</v>
      </c>
      <c r="U82" s="1"/>
      <c r="V82" s="1"/>
    </row>
    <row r="83" spans="1:22" s="7" customFormat="1" ht="16.2" thickBot="1" x14ac:dyDescent="0.3">
      <c r="A83" s="302" t="s">
        <v>55</v>
      </c>
      <c r="B83" s="303"/>
      <c r="C83" s="38"/>
      <c r="D83" s="38"/>
      <c r="E83" s="105"/>
      <c r="F83" s="39"/>
      <c r="G83" s="40"/>
      <c r="H83" s="40"/>
      <c r="I83" s="40"/>
      <c r="J83" s="38"/>
      <c r="K83" s="38"/>
      <c r="L83" s="38"/>
      <c r="M83" s="77">
        <f>D5</f>
        <v>6.9720000000000004E-2</v>
      </c>
      <c r="N83" s="78"/>
      <c r="O83" s="78"/>
      <c r="P83" s="78">
        <f>P82*M83</f>
        <v>106.53171379200003</v>
      </c>
      <c r="Q83" s="78">
        <f>P83+N83</f>
        <v>106.53171379200003</v>
      </c>
      <c r="R83" s="160">
        <f>Q83</f>
        <v>106.53171379200003</v>
      </c>
      <c r="S83" s="132"/>
      <c r="T83" s="132"/>
      <c r="U83" s="1"/>
      <c r="V83" s="1"/>
    </row>
    <row r="84" spans="1:22" s="7" customFormat="1" ht="16.8" thickTop="1" thickBot="1" x14ac:dyDescent="0.3">
      <c r="A84" s="161" t="s">
        <v>231</v>
      </c>
      <c r="B84" s="47"/>
      <c r="C84" s="41"/>
      <c r="D84" s="41"/>
      <c r="E84" s="42"/>
      <c r="F84" s="43"/>
      <c r="G84" s="44"/>
      <c r="H84" s="44"/>
      <c r="I84" s="44"/>
      <c r="J84" s="41"/>
      <c r="K84" s="41"/>
      <c r="L84" s="41"/>
      <c r="M84" s="48">
        <f>D6</f>
        <v>0.2</v>
      </c>
      <c r="N84" s="46"/>
      <c r="O84" s="46"/>
      <c r="P84" s="46">
        <f>P82*M84</f>
        <v>305.59872000000013</v>
      </c>
      <c r="Q84" s="46">
        <f>P84+N84</f>
        <v>305.59872000000013</v>
      </c>
      <c r="R84" s="162">
        <f>Q84</f>
        <v>305.59872000000013</v>
      </c>
      <c r="S84" s="132"/>
      <c r="T84" s="132"/>
      <c r="U84" s="1"/>
      <c r="V84" s="1"/>
    </row>
    <row r="85" spans="1:22" s="7" customFormat="1" ht="16.8" thickTop="1" thickBot="1" x14ac:dyDescent="0.3">
      <c r="A85" s="161" t="s">
        <v>232</v>
      </c>
      <c r="B85" s="47"/>
      <c r="C85" s="41"/>
      <c r="D85" s="41"/>
      <c r="E85" s="42"/>
      <c r="F85" s="43"/>
      <c r="G85" s="44"/>
      <c r="H85" s="44"/>
      <c r="I85" s="44"/>
      <c r="J85" s="41"/>
      <c r="K85" s="41"/>
      <c r="L85" s="41"/>
      <c r="M85" s="48">
        <f>D7</f>
        <v>0.2</v>
      </c>
      <c r="N85" s="46">
        <f>N82*M85</f>
        <v>609.05488458107993</v>
      </c>
      <c r="O85" s="46"/>
      <c r="P85" s="46"/>
      <c r="Q85" s="46">
        <f>P85+N85</f>
        <v>609.05488458107993</v>
      </c>
      <c r="R85" s="162">
        <f>Q85</f>
        <v>609.05488458107993</v>
      </c>
      <c r="S85" s="132"/>
      <c r="T85" s="132"/>
      <c r="U85" s="1"/>
      <c r="V85" s="1"/>
    </row>
    <row r="86" spans="1:22" s="7" customFormat="1" ht="16.8" thickTop="1" thickBot="1" x14ac:dyDescent="0.3">
      <c r="A86" s="300" t="s">
        <v>233</v>
      </c>
      <c r="B86" s="301"/>
      <c r="C86" s="41"/>
      <c r="D86" s="41"/>
      <c r="E86" s="42"/>
      <c r="F86" s="43"/>
      <c r="G86" s="44"/>
      <c r="H86" s="44"/>
      <c r="I86" s="44"/>
      <c r="J86" s="41"/>
      <c r="K86" s="41"/>
      <c r="L86" s="41"/>
      <c r="M86" s="45">
        <f>D8</f>
        <v>1.4999999999999999E-2</v>
      </c>
      <c r="N86" s="46">
        <f>(N82+N83+N84+N85)*M86</f>
        <v>54.814939612297195</v>
      </c>
      <c r="O86" s="46"/>
      <c r="P86" s="46">
        <f>(P82+P83+P84+P85)*M86</f>
        <v>29.101860506880012</v>
      </c>
      <c r="Q86" s="46">
        <f>P86+N86</f>
        <v>83.916800119177211</v>
      </c>
      <c r="R86" s="162">
        <f>Q86</f>
        <v>83.916800119177211</v>
      </c>
      <c r="S86" s="132"/>
      <c r="T86" s="132"/>
      <c r="U86" s="1"/>
      <c r="V86" s="1"/>
    </row>
    <row r="87" spans="1:22" s="7" customFormat="1" ht="16.2" thickTop="1" x14ac:dyDescent="0.25">
      <c r="A87" s="298" t="s">
        <v>56</v>
      </c>
      <c r="B87" s="299"/>
      <c r="C87" s="163"/>
      <c r="D87" s="163"/>
      <c r="E87" s="164"/>
      <c r="F87" s="165"/>
      <c r="G87" s="166"/>
      <c r="H87" s="166"/>
      <c r="I87" s="166"/>
      <c r="J87" s="163"/>
      <c r="K87" s="163"/>
      <c r="L87" s="163"/>
      <c r="M87" s="167"/>
      <c r="N87" s="168">
        <f>SUM(N82:N86)</f>
        <v>3709.1442470987768</v>
      </c>
      <c r="O87" s="167"/>
      <c r="P87" s="168">
        <f>SUM(P82:P86)</f>
        <v>1969.2258942988808</v>
      </c>
      <c r="Q87" s="168">
        <f>SUM(Q82:Q86)</f>
        <v>5678.3701413976578</v>
      </c>
      <c r="R87" s="169">
        <f>SUM(R82:R86)</f>
        <v>5678.3701413976578</v>
      </c>
      <c r="S87" s="132"/>
      <c r="T87" s="133">
        <f>T82</f>
        <v>5678.3701413976569</v>
      </c>
      <c r="U87" s="1"/>
      <c r="V87" s="1"/>
    </row>
  </sheetData>
  <autoFilter ref="J1:J87" xr:uid="{00000000-0001-0000-0300-000000000000}"/>
  <mergeCells count="8">
    <mergeCell ref="A86:B86"/>
    <mergeCell ref="A87:B87"/>
    <mergeCell ref="A2:R2"/>
    <mergeCell ref="B3:E3"/>
    <mergeCell ref="E16:F16"/>
    <mergeCell ref="A82:B82"/>
    <mergeCell ref="C82:J82"/>
    <mergeCell ref="A83:B83"/>
  </mergeCells>
  <dataValidations count="1">
    <dataValidation type="list" allowBlank="1" showInputMessage="1" showErrorMessage="1" sqref="E63" xr:uid="{D6F334B3-7D81-46D7-A9D6-0F162CB9B1D1}">
      <formula1>#REF!</formula1>
    </dataValidation>
  </dataValidations>
  <hyperlinks>
    <hyperlink ref="D3:E3" location="'COST SUMMARY'!A1" display="CLICK HERE TO GO BACK TO COST SUMMARY" xr:uid="{7CE76A08-EE75-4DBD-8779-F6625AF577A8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E2F47D2D-50CC-4516-A973-20DB193539E6}">
          <x14:formula1>
            <xm:f>'HOURLY RATES'!$C$6:$C$105</xm:f>
          </x14:formula1>
          <xm:sqref>E21:E32 E60:E62 E54:E57 E47:E51 E34:E36 E39:E44 E81 E65:E76</xm:sqref>
        </x14:dataValidation>
        <x14:dataValidation type="list" allowBlank="1" showInputMessage="1" showErrorMessage="1" xr:uid="{1BC95CBC-1B9D-4E9A-AF21-A63E93B0B8F7}">
          <x14:formula1>
            <xm:f>'HOURLY RATES'!$B$116:$B$126</xm:f>
          </x14:formula1>
          <xm:sqref>J19:J76 J78:J81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474F4-17D7-4EA0-BB61-7862392660FE}">
  <sheetPr>
    <tabColor theme="5" tint="-0.499984740745262"/>
    <pageSetUpPr fitToPage="1"/>
  </sheetPr>
  <dimension ref="A1:V86"/>
  <sheetViews>
    <sheetView zoomScale="40" zoomScaleNormal="40" zoomScaleSheetLayoutView="70" workbookViewId="0">
      <pane ySplit="1" topLeftCell="A2" activePane="bottomLeft" state="frozen"/>
      <selection pane="bottomLeft" activeCell="F21" sqref="F21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Q81</f>
        <v>5007.0198572744703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P81*D5</f>
        <v>133.57635278399999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P81*D6</f>
        <v>383.17944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N81*D7</f>
        <v>618.22453145489408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92.130002722700453</v>
      </c>
      <c r="F8" s="185" t="s">
        <v>181</v>
      </c>
      <c r="G8" s="120"/>
      <c r="H8" s="184"/>
      <c r="I8" s="137"/>
      <c r="J8" s="138"/>
      <c r="K8" s="142"/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6234.1301842360645</v>
      </c>
      <c r="F9" s="95"/>
      <c r="G9" s="120"/>
      <c r="H9" s="184"/>
      <c r="I9" s="137"/>
      <c r="J9" s="143" t="s">
        <v>183</v>
      </c>
      <c r="K9" s="26">
        <v>650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650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0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809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350.47485927446996</v>
      </c>
      <c r="S18" s="129">
        <f>U18</f>
        <v>4656.5449979999994</v>
      </c>
      <c r="T18" s="130"/>
      <c r="U18" s="13">
        <f>SUM(Q67:Q80)</f>
        <v>4656.5449979999994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56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56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56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56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56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56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0.86232314777777774</v>
      </c>
      <c r="L27" s="60">
        <f t="shared" si="3"/>
        <v>0.86232314777777774</v>
      </c>
      <c r="M27" s="58">
        <f>IF(VLOOKUP(E27,'HOURLY RATES'!C$6:D$105,2,0)=0,$E$3,VLOOKUP(E27,'HOURLY RATES'!C$6:D$105,2,0))</f>
        <v>54</v>
      </c>
      <c r="N27" s="58">
        <f t="shared" si="4"/>
        <v>46.565449979999997</v>
      </c>
      <c r="O27" s="61"/>
      <c r="P27" s="61">
        <f t="shared" si="0"/>
        <v>0</v>
      </c>
      <c r="Q27" s="62">
        <f t="shared" si="5"/>
        <v>46.565449979999997</v>
      </c>
      <c r="R27" s="151"/>
      <c r="S27" s="131">
        <f t="shared" si="1"/>
        <v>56.716718075639989</v>
      </c>
      <c r="T27" s="130">
        <f t="shared" si="6"/>
        <v>56.716718075639989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0.49669813311999989</v>
      </c>
      <c r="L34" s="60">
        <f t="shared" ref="L34:L36" si="8">K34*I34</f>
        <v>0.49669813311999989</v>
      </c>
      <c r="M34" s="58">
        <f>IF(VLOOKUP(E34,'HOURLY RATES'!C$6:D$105,2,0)=0,$E$3,VLOOKUP(E34,'HOURLY RATES'!C$6:D$105,2,0))</f>
        <v>54</v>
      </c>
      <c r="N34" s="58">
        <f t="shared" ref="N34:N36" si="9">M34*L34</f>
        <v>26.821699188479993</v>
      </c>
      <c r="O34" s="61"/>
      <c r="P34" s="61">
        <f t="shared" ref="P34:P36" si="10">O34*I34</f>
        <v>0</v>
      </c>
      <c r="Q34" s="62">
        <f t="shared" ref="Q34:Q36" si="11">P34+N34</f>
        <v>26.821699188479993</v>
      </c>
      <c r="R34" s="151"/>
      <c r="S34" s="131">
        <f>((((N34*(1+$D$7))+(P34*(1+$D$5+$D$6)))*(1+$D$8)))/I34</f>
        <v>32.668829611568626</v>
      </c>
      <c r="T34" s="130">
        <f t="shared" ref="T34:T36" si="12">S34*I34</f>
        <v>32.668829611568626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0.99210278151833331</v>
      </c>
      <c r="L36" s="60">
        <f t="shared" si="8"/>
        <v>0.99210278151833331</v>
      </c>
      <c r="M36" s="58">
        <f>IF(VLOOKUP(E36,'HOURLY RATES'!C$6:D$105,2,0)=0,$E$3,VLOOKUP(E36,'HOURLY RATES'!C$6:D$105,2,0))</f>
        <v>54</v>
      </c>
      <c r="N36" s="58">
        <f t="shared" si="9"/>
        <v>53.573550201989995</v>
      </c>
      <c r="O36" s="61"/>
      <c r="P36" s="61">
        <f t="shared" si="10"/>
        <v>0</v>
      </c>
      <c r="Q36" s="62">
        <f t="shared" si="11"/>
        <v>53.573550201989995</v>
      </c>
      <c r="R36" s="151"/>
      <c r="S36" s="131">
        <f>((((N36*(1+$D$7))+(P36*(1+$D$5+$D$6)))*(1+$D$8)))/I36</f>
        <v>65.252584146023807</v>
      </c>
      <c r="T36" s="130">
        <f t="shared" si="12"/>
        <v>65.252584146023807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1.8971109251111111</v>
      </c>
      <c r="L44" s="60">
        <f t="shared" si="14"/>
        <v>1.8971109251111111</v>
      </c>
      <c r="M44" s="58">
        <f>IF(VLOOKUP(E44,'HOURLY RATES'!C$6:D$105,2,0)=0,$E$3,VLOOKUP(E44,'HOURLY RATES'!C$6:D$105,2,0))</f>
        <v>54</v>
      </c>
      <c r="N44" s="58">
        <f t="shared" si="15"/>
        <v>102.443989956</v>
      </c>
      <c r="O44" s="61"/>
      <c r="P44" s="61">
        <f t="shared" si="16"/>
        <v>0</v>
      </c>
      <c r="Q44" s="62">
        <f t="shared" si="5"/>
        <v>102.443989956</v>
      </c>
      <c r="R44" s="151"/>
      <c r="S44" s="131">
        <f t="shared" si="17"/>
        <v>124.77677976640797</v>
      </c>
      <c r="T44" s="130">
        <f t="shared" si="18"/>
        <v>124.77677976640797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2.2420401842222222</v>
      </c>
      <c r="L65" s="60">
        <f t="shared" ref="L65" si="34">K65*I65</f>
        <v>2.2420401842222222</v>
      </c>
      <c r="M65" s="58">
        <f>IF(VLOOKUP(E65,'HOURLY RATES'!C$6:D$105,2,0)=0,$E$3,VLOOKUP(E65,'HOURLY RATES'!C$6:D$105,2,0))</f>
        <v>54</v>
      </c>
      <c r="N65" s="58">
        <f t="shared" ref="N65" si="35">M65*L65</f>
        <v>121.070169948</v>
      </c>
      <c r="O65" s="61"/>
      <c r="P65" s="61">
        <f t="shared" ref="P65" si="36">O65*I65</f>
        <v>0</v>
      </c>
      <c r="Q65" s="62">
        <f t="shared" ref="Q65" si="37">P65+N65</f>
        <v>121.070169948</v>
      </c>
      <c r="R65" s="151"/>
      <c r="S65" s="131">
        <f>((((N65*(1+$D$7))+(P65*(1+$D$5+$D$6)))*(1+$D$8)))/I65</f>
        <v>147.46346699666398</v>
      </c>
      <c r="T65" s="130">
        <f>S65*I65</f>
        <v>147.46346699666398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SUM(Q68:Q80)</f>
        <v>4656.5449979999994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50"/>
      <c r="C69" s="63"/>
      <c r="D69" s="100"/>
      <c r="E69" s="178"/>
      <c r="F69" s="174" t="s">
        <v>717</v>
      </c>
      <c r="G69" s="51"/>
      <c r="H69" s="52"/>
      <c r="I69" s="53"/>
      <c r="J69" s="99"/>
      <c r="K69" s="153"/>
      <c r="L69" s="60"/>
      <c r="M69" s="58"/>
      <c r="N69" s="58"/>
      <c r="O69" s="61"/>
      <c r="P69" s="61"/>
      <c r="Q69" s="62"/>
      <c r="R69" s="155"/>
      <c r="S69" s="131"/>
      <c r="T69" s="130"/>
    </row>
    <row r="70" spans="1:20" s="7" customFormat="1" x14ac:dyDescent="0.25">
      <c r="A70" s="152" t="str">
        <f>IF(J70&lt;&gt;"",1+MAX($A$18:A69),"")</f>
        <v/>
      </c>
      <c r="B70" s="50"/>
      <c r="C70" s="63"/>
      <c r="D70" s="100"/>
      <c r="E70" s="178"/>
      <c r="F70" s="172" t="s">
        <v>223</v>
      </c>
      <c r="G70" s="51"/>
      <c r="H70" s="52"/>
      <c r="I70" s="53"/>
      <c r="J70" s="99"/>
      <c r="K70" s="153"/>
      <c r="L70" s="60"/>
      <c r="M70" s="58"/>
      <c r="N70" s="58"/>
      <c r="O70" s="61"/>
      <c r="P70" s="61"/>
      <c r="Q70" s="62"/>
      <c r="R70" s="155"/>
      <c r="S70" s="131"/>
      <c r="T70" s="130"/>
    </row>
    <row r="71" spans="1:20" s="7" customFormat="1" ht="31.2" x14ac:dyDescent="0.25">
      <c r="A71" s="152">
        <f>IF(J71&lt;&gt;"",1+MAX($A$18:A70),"")</f>
        <v>34</v>
      </c>
      <c r="B71" s="50"/>
      <c r="C71" s="50"/>
      <c r="D71" s="100" t="s">
        <v>35</v>
      </c>
      <c r="E71" s="178" t="s">
        <v>104</v>
      </c>
      <c r="F71" s="175" t="s">
        <v>769</v>
      </c>
      <c r="G71" s="51">
        <v>179</v>
      </c>
      <c r="H71" s="52">
        <f>IF(VLOOKUP(J71,'HOURLY RATES'!B$116:C$124,2,0)=0,$J$3,VLOOKUP(J71,'HOURLY RATES'!B$116:C$124,2,0))</f>
        <v>0.05</v>
      </c>
      <c r="I71" s="53">
        <f t="shared" ref="I71:I72" si="38">(G71*(1+H71))</f>
        <v>187.95000000000002</v>
      </c>
      <c r="J71" s="99" t="s">
        <v>224</v>
      </c>
      <c r="K71" s="153">
        <v>0.02</v>
      </c>
      <c r="L71" s="60">
        <f t="shared" ref="L71:L72" si="39">K71*I71</f>
        <v>3.7590000000000003</v>
      </c>
      <c r="M71" s="58">
        <f>IF(VLOOKUP(E71,'HOURLY RATES'!C$6:D$105,2,0)=0,$E$3,VLOOKUP(E71,'HOURLY RATES'!C$6:D$105,2,0))</f>
        <v>54</v>
      </c>
      <c r="N71" s="58">
        <f t="shared" ref="N71:N72" si="40">M71*L71</f>
        <v>202.98600000000002</v>
      </c>
      <c r="O71" s="61">
        <v>0.4</v>
      </c>
      <c r="P71" s="61">
        <f t="shared" ref="P71:P72" si="41">O71*I71</f>
        <v>75.180000000000007</v>
      </c>
      <c r="Q71" s="62">
        <f t="shared" ref="Q71:Q72" si="42">P71+N71</f>
        <v>278.16600000000005</v>
      </c>
      <c r="R71" s="155"/>
      <c r="S71" s="131">
        <f t="shared" ref="S71:S72" si="43">((((N71*(1+$D$7))+(P71*(1+$D$5+$D$6)))*(1+$D$8)))/I71</f>
        <v>1.8309463199999998</v>
      </c>
      <c r="T71" s="130">
        <f t="shared" ref="T71:T72" si="44">S71*I71</f>
        <v>344.12636084399998</v>
      </c>
    </row>
    <row r="72" spans="1:20" s="7" customFormat="1" ht="31.2" x14ac:dyDescent="0.25">
      <c r="A72" s="152">
        <f>IF(J72&lt;&gt;"",1+MAX($A$18:A71),"")</f>
        <v>35</v>
      </c>
      <c r="B72" s="50"/>
      <c r="C72" s="50"/>
      <c r="D72" s="100" t="s">
        <v>35</v>
      </c>
      <c r="E72" s="178" t="s">
        <v>104</v>
      </c>
      <c r="F72" s="175" t="s">
        <v>793</v>
      </c>
      <c r="G72" s="51">
        <v>148</v>
      </c>
      <c r="H72" s="52">
        <f>IF(VLOOKUP(J72,'HOURLY RATES'!B$116:C$124,2,0)=0,$J$3,VLOOKUP(J72,'HOURLY RATES'!B$116:C$124,2,0))</f>
        <v>0.05</v>
      </c>
      <c r="I72" s="53">
        <f t="shared" si="38"/>
        <v>155.4</v>
      </c>
      <c r="J72" s="99" t="s">
        <v>224</v>
      </c>
      <c r="K72" s="153">
        <v>0.02</v>
      </c>
      <c r="L72" s="60">
        <f t="shared" si="39"/>
        <v>3.1080000000000001</v>
      </c>
      <c r="M72" s="58">
        <f>IF(VLOOKUP(E72,'HOURLY RATES'!C$6:D$105,2,0)=0,$E$3,VLOOKUP(E72,'HOURLY RATES'!C$6:D$105,2,0))</f>
        <v>54</v>
      </c>
      <c r="N72" s="58">
        <f t="shared" si="40"/>
        <v>167.83199999999999</v>
      </c>
      <c r="O72" s="61">
        <v>0.4</v>
      </c>
      <c r="P72" s="61">
        <f t="shared" si="41"/>
        <v>62.160000000000004</v>
      </c>
      <c r="Q72" s="62">
        <f t="shared" si="42"/>
        <v>229.99199999999999</v>
      </c>
      <c r="R72" s="155"/>
      <c r="S72" s="131">
        <f t="shared" si="43"/>
        <v>1.8309463199999993</v>
      </c>
      <c r="T72" s="130">
        <f t="shared" si="44"/>
        <v>284.52905812799992</v>
      </c>
    </row>
    <row r="73" spans="1:20" s="7" customFormat="1" x14ac:dyDescent="0.25">
      <c r="A73" s="152"/>
      <c r="B73" s="50"/>
      <c r="C73" s="63"/>
      <c r="D73" s="100"/>
      <c r="E73" s="178"/>
      <c r="F73" s="103"/>
      <c r="G73" s="51"/>
      <c r="H73" s="52"/>
      <c r="I73" s="53"/>
      <c r="J73" s="99"/>
      <c r="K73" s="153"/>
      <c r="L73" s="60"/>
      <c r="M73" s="58"/>
      <c r="N73" s="58"/>
      <c r="O73" s="61"/>
      <c r="P73" s="61"/>
      <c r="Q73" s="62"/>
      <c r="R73" s="155"/>
      <c r="S73" s="131"/>
      <c r="T73" s="130"/>
    </row>
    <row r="74" spans="1:20" s="7" customFormat="1" x14ac:dyDescent="0.25">
      <c r="A74" s="152" t="str">
        <f>IF(J74&lt;&gt;"",1+MAX($A$18:A72),"")</f>
        <v/>
      </c>
      <c r="B74" s="109"/>
      <c r="C74" s="110"/>
      <c r="D74" s="100"/>
      <c r="E74" s="179"/>
      <c r="F74" s="172" t="s">
        <v>725</v>
      </c>
      <c r="G74" s="112"/>
      <c r="H74" s="113"/>
      <c r="I74" s="114"/>
      <c r="J74" s="99"/>
      <c r="K74" s="153"/>
      <c r="L74" s="156"/>
      <c r="M74" s="157"/>
      <c r="N74" s="157"/>
      <c r="O74" s="158"/>
      <c r="P74" s="158"/>
      <c r="Q74" s="159"/>
      <c r="R74" s="155"/>
      <c r="S74" s="131"/>
      <c r="T74" s="130"/>
    </row>
    <row r="75" spans="1:20" s="7" customFormat="1" ht="46.8" x14ac:dyDescent="0.25">
      <c r="A75" s="152">
        <f>IF(J75&lt;&gt;"",1+MAX($A$18:A74),"")</f>
        <v>36</v>
      </c>
      <c r="B75" s="109"/>
      <c r="C75" s="109"/>
      <c r="D75" s="100" t="s">
        <v>35</v>
      </c>
      <c r="E75" s="179" t="s">
        <v>86</v>
      </c>
      <c r="F75" s="176" t="s">
        <v>779</v>
      </c>
      <c r="G75" s="112">
        <f>199+861+503</f>
        <v>1563</v>
      </c>
      <c r="H75" s="113">
        <v>0.05</v>
      </c>
      <c r="I75" s="114">
        <f t="shared" ref="I75:I79" si="45">(G75*(1+H75))</f>
        <v>1641.15</v>
      </c>
      <c r="J75" s="99" t="s">
        <v>224</v>
      </c>
      <c r="K75" s="153">
        <v>0.02</v>
      </c>
      <c r="L75" s="156">
        <f t="shared" ref="L75:L79" si="46">K75*I75</f>
        <v>32.823</v>
      </c>
      <c r="M75" s="58">
        <f>IF(VLOOKUP(E75,'HOURLY RATES'!C$6:D$105,2,0)=0,$E$3,VLOOKUP(E75,'HOURLY RATES'!C$6:D$105,2,0))</f>
        <v>54</v>
      </c>
      <c r="N75" s="157">
        <f t="shared" ref="N75:N79" si="47">M75*L75</f>
        <v>1772.442</v>
      </c>
      <c r="O75" s="158">
        <v>0.8</v>
      </c>
      <c r="P75" s="158">
        <f t="shared" ref="P75:P79" si="48">O75*I75</f>
        <v>1312.92</v>
      </c>
      <c r="Q75" s="159">
        <f t="shared" ref="Q75:Q79" si="49">P75+N75</f>
        <v>3085.3620000000001</v>
      </c>
      <c r="R75" s="155"/>
      <c r="S75" s="131">
        <f>((((N75*(1+$D$7))+(P75*(1+$D$5+$D$6)))*(1+$D$8)))/I75</f>
        <v>2.3464526399999994</v>
      </c>
      <c r="T75" s="130">
        <f t="shared" ref="T75:T79" si="50">S75*I75</f>
        <v>3850.8807501359993</v>
      </c>
    </row>
    <row r="76" spans="1:20" s="7" customFormat="1" ht="46.8" x14ac:dyDescent="0.25">
      <c r="A76" s="152">
        <f>IF(J76&lt;&gt;"",1+MAX($A$18:A75),"")</f>
        <v>37</v>
      </c>
      <c r="B76" s="109"/>
      <c r="C76" s="109"/>
      <c r="D76" s="100" t="s">
        <v>35</v>
      </c>
      <c r="E76" s="179" t="s">
        <v>86</v>
      </c>
      <c r="F76" s="176" t="s">
        <v>780</v>
      </c>
      <c r="G76" s="112">
        <f>36+243</f>
        <v>279</v>
      </c>
      <c r="H76" s="113">
        <v>0.05</v>
      </c>
      <c r="I76" s="114">
        <f t="shared" si="45"/>
        <v>292.95</v>
      </c>
      <c r="J76" s="99" t="s">
        <v>224</v>
      </c>
      <c r="K76" s="153">
        <v>0.02</v>
      </c>
      <c r="L76" s="156">
        <f t="shared" si="46"/>
        <v>5.859</v>
      </c>
      <c r="M76" s="58">
        <f>IF(VLOOKUP(E76,'HOURLY RATES'!C$6:D$105,2,0)=0,$E$3,VLOOKUP(E76,'HOURLY RATES'!C$6:D$105,2,0))</f>
        <v>54</v>
      </c>
      <c r="N76" s="157">
        <f t="shared" si="47"/>
        <v>316.38600000000002</v>
      </c>
      <c r="O76" s="158">
        <v>0.8</v>
      </c>
      <c r="P76" s="158">
        <f t="shared" si="48"/>
        <v>234.36</v>
      </c>
      <c r="Q76" s="159">
        <f t="shared" si="49"/>
        <v>550.74600000000009</v>
      </c>
      <c r="R76" s="155"/>
      <c r="S76" s="131">
        <f t="shared" ref="S76:S79" si="51">((((N76*(1+$D$7))+(P76*(1+$D$5+$D$6)))*(1+$D$8)))/I76</f>
        <v>2.3464526399999999</v>
      </c>
      <c r="T76" s="130">
        <f t="shared" si="50"/>
        <v>687.39330088799989</v>
      </c>
    </row>
    <row r="77" spans="1:20" s="7" customFormat="1" ht="46.8" x14ac:dyDescent="0.25">
      <c r="A77" s="152">
        <f>IF(J77&lt;&gt;"",1+MAX($A$18:A74),"")</f>
        <v>36</v>
      </c>
      <c r="B77" s="109"/>
      <c r="C77" s="109"/>
      <c r="D77" s="100" t="s">
        <v>35</v>
      </c>
      <c r="E77" s="179" t="s">
        <v>86</v>
      </c>
      <c r="F77" s="176" t="s">
        <v>792</v>
      </c>
      <c r="G77" s="112">
        <v>108.6</v>
      </c>
      <c r="H77" s="113">
        <v>0.05</v>
      </c>
      <c r="I77" s="114">
        <f t="shared" si="45"/>
        <v>114.03</v>
      </c>
      <c r="J77" s="99" t="s">
        <v>226</v>
      </c>
      <c r="K77" s="153">
        <v>1.7999999999999999E-2</v>
      </c>
      <c r="L77" s="156">
        <f t="shared" si="46"/>
        <v>2.05254</v>
      </c>
      <c r="M77" s="58">
        <f>IF(VLOOKUP(E77,'HOURLY RATES'!C$6:D$105,2,0)=0,$E$3,VLOOKUP(E77,'HOURLY RATES'!C$6:D$105,2,0))</f>
        <v>54</v>
      </c>
      <c r="N77" s="157">
        <f t="shared" si="47"/>
        <v>110.83716</v>
      </c>
      <c r="O77" s="158">
        <v>0.8</v>
      </c>
      <c r="P77" s="158">
        <f t="shared" si="48"/>
        <v>91.224000000000004</v>
      </c>
      <c r="Q77" s="159">
        <f t="shared" si="49"/>
        <v>202.06116</v>
      </c>
      <c r="R77" s="155"/>
      <c r="S77" s="131">
        <f t="shared" si="51"/>
        <v>2.2149086399999995</v>
      </c>
      <c r="T77" s="130">
        <f t="shared" si="50"/>
        <v>252.56603221919994</v>
      </c>
    </row>
    <row r="78" spans="1:20" s="7" customFormat="1" ht="46.8" x14ac:dyDescent="0.25">
      <c r="A78" s="152">
        <f>IF(J78&lt;&gt;"",1+MAX($A$18:A75),"")</f>
        <v>37</v>
      </c>
      <c r="B78" s="109"/>
      <c r="C78" s="109"/>
      <c r="D78" s="100" t="s">
        <v>35</v>
      </c>
      <c r="E78" s="179" t="s">
        <v>86</v>
      </c>
      <c r="F78" s="176" t="s">
        <v>790</v>
      </c>
      <c r="G78" s="112">
        <v>93.32</v>
      </c>
      <c r="H78" s="113">
        <v>0.05</v>
      </c>
      <c r="I78" s="114">
        <f t="shared" ref="I78" si="52">(G78*(1+H78))</f>
        <v>97.98599999999999</v>
      </c>
      <c r="J78" s="99" t="s">
        <v>226</v>
      </c>
      <c r="K78" s="153">
        <v>1.7999999999999999E-2</v>
      </c>
      <c r="L78" s="156">
        <f t="shared" ref="L78" si="53">K78*I78</f>
        <v>1.7637479999999996</v>
      </c>
      <c r="M78" s="58">
        <f>IF(VLOOKUP(E78,'HOURLY RATES'!C$6:D$105,2,0)=0,$E$3,VLOOKUP(E78,'HOURLY RATES'!C$6:D$105,2,0))</f>
        <v>54</v>
      </c>
      <c r="N78" s="157">
        <f t="shared" ref="N78" si="54">M78*L78</f>
        <v>95.242391999999981</v>
      </c>
      <c r="O78" s="158">
        <v>0.8</v>
      </c>
      <c r="P78" s="158">
        <f t="shared" ref="P78" si="55">O78*I78</f>
        <v>78.388800000000003</v>
      </c>
      <c r="Q78" s="159">
        <f t="shared" ref="Q78" si="56">P78+N78</f>
        <v>173.631192</v>
      </c>
      <c r="R78" s="155"/>
      <c r="S78" s="131">
        <f t="shared" ref="S78" si="57">((((N78*(1+$D$7))+(P78*(1+$D$5+$D$6)))*(1+$D$8)))/I78</f>
        <v>2.2149086399999995</v>
      </c>
      <c r="T78" s="130">
        <f t="shared" ref="T78" si="58">S78*I78</f>
        <v>217.03003799903993</v>
      </c>
    </row>
    <row r="79" spans="1:20" s="7" customFormat="1" ht="46.8" x14ac:dyDescent="0.25">
      <c r="A79" s="152">
        <f>IF(J79&lt;&gt;"",1+MAX($A$18:A76),"")</f>
        <v>38</v>
      </c>
      <c r="B79" s="109"/>
      <c r="C79" s="109"/>
      <c r="D79" s="100" t="s">
        <v>35</v>
      </c>
      <c r="E79" s="179" t="s">
        <v>86</v>
      </c>
      <c r="F79" s="176" t="s">
        <v>791</v>
      </c>
      <c r="G79" s="112">
        <v>73.41</v>
      </c>
      <c r="H79" s="113">
        <v>0.05</v>
      </c>
      <c r="I79" s="114">
        <f t="shared" si="45"/>
        <v>77.080500000000001</v>
      </c>
      <c r="J79" s="99" t="s">
        <v>226</v>
      </c>
      <c r="K79" s="153">
        <v>1.7999999999999999E-2</v>
      </c>
      <c r="L79" s="156">
        <f t="shared" si="46"/>
        <v>1.3874489999999999</v>
      </c>
      <c r="M79" s="58">
        <f>IF(VLOOKUP(E79,'HOURLY RATES'!C$6:D$105,2,0)=0,$E$3,VLOOKUP(E79,'HOURLY RATES'!C$6:D$105,2,0))</f>
        <v>54</v>
      </c>
      <c r="N79" s="157">
        <f t="shared" si="47"/>
        <v>74.922246000000001</v>
      </c>
      <c r="O79" s="158">
        <v>0.8</v>
      </c>
      <c r="P79" s="158">
        <f t="shared" si="48"/>
        <v>61.664400000000001</v>
      </c>
      <c r="Q79" s="159">
        <f t="shared" si="49"/>
        <v>136.586646</v>
      </c>
      <c r="R79" s="155"/>
      <c r="S79" s="131">
        <f t="shared" si="51"/>
        <v>2.2149086399999995</v>
      </c>
      <c r="T79" s="130">
        <f t="shared" si="50"/>
        <v>170.72626542551995</v>
      </c>
    </row>
    <row r="80" spans="1:20" s="7" customFormat="1" x14ac:dyDescent="0.25">
      <c r="A80" s="152" t="str">
        <f>IF(J80&lt;&gt;"",1+MAX($A$18:A79),"")</f>
        <v/>
      </c>
      <c r="B80" s="50"/>
      <c r="C80" s="50"/>
      <c r="D80" s="100"/>
      <c r="E80" s="178"/>
      <c r="F80" s="175" t="s">
        <v>222</v>
      </c>
      <c r="G80" s="51"/>
      <c r="H80" s="52"/>
      <c r="I80" s="53"/>
      <c r="J80" s="99"/>
      <c r="K80" s="153"/>
      <c r="L80" s="60"/>
      <c r="M80" s="58"/>
      <c r="N80" s="58"/>
      <c r="O80" s="61"/>
      <c r="P80" s="61"/>
      <c r="Q80" s="62"/>
      <c r="R80" s="155"/>
      <c r="S80" s="131"/>
      <c r="T80" s="130"/>
    </row>
    <row r="81" spans="1:22" s="7" customFormat="1" x14ac:dyDescent="0.25">
      <c r="A81" s="304" t="s">
        <v>54</v>
      </c>
      <c r="B81" s="304"/>
      <c r="C81" s="305"/>
      <c r="D81" s="306"/>
      <c r="E81" s="306"/>
      <c r="F81" s="306"/>
      <c r="G81" s="306"/>
      <c r="H81" s="306"/>
      <c r="I81" s="306"/>
      <c r="J81" s="307"/>
      <c r="K81" s="236" t="s">
        <v>228</v>
      </c>
      <c r="L81" s="237">
        <f>SUM(L18:L80)</f>
        <v>57.243012171749442</v>
      </c>
      <c r="M81" s="235" t="s">
        <v>229</v>
      </c>
      <c r="N81" s="238">
        <f>SUM(N18:N80)</f>
        <v>3091.1226572744704</v>
      </c>
      <c r="O81" s="235" t="s">
        <v>230</v>
      </c>
      <c r="P81" s="238">
        <f>SUM(P18:P80)</f>
        <v>1915.8971999999999</v>
      </c>
      <c r="Q81" s="239">
        <f>SUM(Q18:Q80)</f>
        <v>5007.0198572744703</v>
      </c>
      <c r="R81" s="239">
        <f>SUM(R18:R80)</f>
        <v>5007.0198572744694</v>
      </c>
      <c r="S81" s="132"/>
      <c r="T81" s="133">
        <f>SUM(T18:T80)</f>
        <v>6234.1301842360635</v>
      </c>
      <c r="U81" s="1"/>
      <c r="V81" s="1"/>
    </row>
    <row r="82" spans="1:22" s="7" customFormat="1" ht="16.2" thickBot="1" x14ac:dyDescent="0.3">
      <c r="A82" s="302" t="s">
        <v>55</v>
      </c>
      <c r="B82" s="303"/>
      <c r="C82" s="38"/>
      <c r="D82" s="38"/>
      <c r="E82" s="105"/>
      <c r="F82" s="39"/>
      <c r="G82" s="40"/>
      <c r="H82" s="40"/>
      <c r="I82" s="40"/>
      <c r="J82" s="38"/>
      <c r="K82" s="38"/>
      <c r="L82" s="38"/>
      <c r="M82" s="77">
        <f>D5</f>
        <v>6.9720000000000004E-2</v>
      </c>
      <c r="N82" s="78"/>
      <c r="O82" s="78"/>
      <c r="P82" s="78">
        <f>P81*M82</f>
        <v>133.57635278399999</v>
      </c>
      <c r="Q82" s="78">
        <f>P82+N82</f>
        <v>133.57635278399999</v>
      </c>
      <c r="R82" s="160">
        <f>Q82</f>
        <v>133.57635278399999</v>
      </c>
      <c r="S82" s="132"/>
      <c r="T82" s="132"/>
      <c r="U82" s="1"/>
      <c r="V82" s="1"/>
    </row>
    <row r="83" spans="1:22" s="7" customFormat="1" ht="16.8" thickTop="1" thickBot="1" x14ac:dyDescent="0.3">
      <c r="A83" s="161" t="s">
        <v>231</v>
      </c>
      <c r="B83" s="47"/>
      <c r="C83" s="41"/>
      <c r="D83" s="41"/>
      <c r="E83" s="42"/>
      <c r="F83" s="43"/>
      <c r="G83" s="44"/>
      <c r="H83" s="44"/>
      <c r="I83" s="44"/>
      <c r="J83" s="41"/>
      <c r="K83" s="41"/>
      <c r="L83" s="41"/>
      <c r="M83" s="48">
        <f>D6</f>
        <v>0.2</v>
      </c>
      <c r="N83" s="46"/>
      <c r="O83" s="46"/>
      <c r="P83" s="46">
        <f>P81*M83</f>
        <v>383.17944</v>
      </c>
      <c r="Q83" s="46">
        <f>P83+N83</f>
        <v>383.17944</v>
      </c>
      <c r="R83" s="162">
        <f>Q83</f>
        <v>383.17944</v>
      </c>
      <c r="S83" s="132"/>
      <c r="T83" s="132"/>
      <c r="U83" s="1"/>
      <c r="V83" s="1"/>
    </row>
    <row r="84" spans="1:22" s="7" customFormat="1" ht="16.8" thickTop="1" thickBot="1" x14ac:dyDescent="0.3">
      <c r="A84" s="161" t="s">
        <v>232</v>
      </c>
      <c r="B84" s="47"/>
      <c r="C84" s="41"/>
      <c r="D84" s="41"/>
      <c r="E84" s="42"/>
      <c r="F84" s="43"/>
      <c r="G84" s="44"/>
      <c r="H84" s="44"/>
      <c r="I84" s="44"/>
      <c r="J84" s="41"/>
      <c r="K84" s="41"/>
      <c r="L84" s="41"/>
      <c r="M84" s="48">
        <f>D7</f>
        <v>0.2</v>
      </c>
      <c r="N84" s="46">
        <f>N81*M84</f>
        <v>618.22453145489408</v>
      </c>
      <c r="O84" s="46"/>
      <c r="P84" s="46"/>
      <c r="Q84" s="46">
        <f>P84+N84</f>
        <v>618.22453145489408</v>
      </c>
      <c r="R84" s="162">
        <f>Q84</f>
        <v>618.22453145489408</v>
      </c>
      <c r="S84" s="132"/>
      <c r="T84" s="132"/>
      <c r="U84" s="1"/>
      <c r="V84" s="1"/>
    </row>
    <row r="85" spans="1:22" s="7" customFormat="1" ht="16.8" thickTop="1" thickBot="1" x14ac:dyDescent="0.3">
      <c r="A85" s="300" t="s">
        <v>233</v>
      </c>
      <c r="B85" s="301"/>
      <c r="C85" s="41"/>
      <c r="D85" s="41"/>
      <c r="E85" s="42"/>
      <c r="F85" s="43"/>
      <c r="G85" s="44"/>
      <c r="H85" s="44"/>
      <c r="I85" s="44"/>
      <c r="J85" s="41"/>
      <c r="K85" s="41"/>
      <c r="L85" s="41"/>
      <c r="M85" s="45">
        <f>D8</f>
        <v>1.4999999999999999E-2</v>
      </c>
      <c r="N85" s="46">
        <f>(N81+N82+N83+N84)*M85</f>
        <v>55.640207830940462</v>
      </c>
      <c r="O85" s="46"/>
      <c r="P85" s="46">
        <f>(P81+P82+P83+P84)*M85</f>
        <v>36.489794891759992</v>
      </c>
      <c r="Q85" s="46">
        <f>P85+N85</f>
        <v>92.130002722700453</v>
      </c>
      <c r="R85" s="162">
        <f>Q85</f>
        <v>92.130002722700453</v>
      </c>
      <c r="S85" s="132"/>
      <c r="T85" s="132"/>
      <c r="U85" s="1"/>
      <c r="V85" s="1"/>
    </row>
    <row r="86" spans="1:22" s="7" customFormat="1" ht="16.2" thickTop="1" x14ac:dyDescent="0.25">
      <c r="A86" s="298" t="s">
        <v>56</v>
      </c>
      <c r="B86" s="299"/>
      <c r="C86" s="163"/>
      <c r="D86" s="163"/>
      <c r="E86" s="164"/>
      <c r="F86" s="165"/>
      <c r="G86" s="166"/>
      <c r="H86" s="166"/>
      <c r="I86" s="166"/>
      <c r="J86" s="163"/>
      <c r="K86" s="163"/>
      <c r="L86" s="163"/>
      <c r="M86" s="167"/>
      <c r="N86" s="168">
        <f>SUM(N81:N85)</f>
        <v>3764.9873965603051</v>
      </c>
      <c r="O86" s="167"/>
      <c r="P86" s="168">
        <f>SUM(P81:P85)</f>
        <v>2469.1427876757598</v>
      </c>
      <c r="Q86" s="168">
        <f>SUM(Q81:Q85)</f>
        <v>6234.1301842360645</v>
      </c>
      <c r="R86" s="169">
        <f>SUM(R81:R85)</f>
        <v>6234.1301842360645</v>
      </c>
      <c r="S86" s="132"/>
      <c r="T86" s="133">
        <f>T81</f>
        <v>6234.1301842360635</v>
      </c>
      <c r="U86" s="1"/>
      <c r="V86" s="1"/>
    </row>
  </sheetData>
  <autoFilter ref="J1:J86" xr:uid="{00000000-0001-0000-0300-000000000000}"/>
  <mergeCells count="8">
    <mergeCell ref="A85:B85"/>
    <mergeCell ref="A86:B86"/>
    <mergeCell ref="A2:R2"/>
    <mergeCell ref="B3:E3"/>
    <mergeCell ref="E16:F16"/>
    <mergeCell ref="A81:B81"/>
    <mergeCell ref="C81:J81"/>
    <mergeCell ref="A82:B82"/>
  </mergeCells>
  <dataValidations count="1">
    <dataValidation type="list" allowBlank="1" showInputMessage="1" showErrorMessage="1" sqref="E63" xr:uid="{09807B28-966A-4AB6-A87F-CE18EFA4D84B}">
      <formula1>#REF!</formula1>
    </dataValidation>
  </dataValidations>
  <hyperlinks>
    <hyperlink ref="D3:E3" location="'COST SUMMARY'!A1" display="CLICK HERE TO GO BACK TO COST SUMMARY" xr:uid="{7BB2712B-15E3-4081-BB70-728F804FBC6C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F08B0A30-8867-4853-AA38-755B185DC943}">
          <x14:formula1>
            <xm:f>'HOURLY RATES'!$B$116:$B$126</xm:f>
          </x14:formula1>
          <xm:sqref>J75:J80 J19:J73</xm:sqref>
        </x14:dataValidation>
        <x14:dataValidation type="list" allowBlank="1" showInputMessage="1" showErrorMessage="1" xr:uid="{7DD95169-E743-449B-83F4-2CC92ED9940D}">
          <x14:formula1>
            <xm:f>'HOURLY RATES'!$C$6:$C$105</xm:f>
          </x14:formula1>
          <xm:sqref>E21:E32 E60:E62 E54:E57 E47:E51 E34:E36 E39:E44 E80 E65:E73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3B8BF-D90E-4DEA-9CB6-B3AB68F03675}">
  <sheetPr>
    <tabColor theme="5" tint="-0.499984740745262"/>
    <pageSetUpPr fitToPage="1"/>
  </sheetPr>
  <dimension ref="A1:V88"/>
  <sheetViews>
    <sheetView zoomScale="40" zoomScaleNormal="40" zoomScaleSheetLayoutView="70" workbookViewId="0">
      <pane ySplit="1" topLeftCell="A2" activePane="bottomLeft" state="frozen"/>
      <selection pane="bottomLeft" activeCell="F25" sqref="F25"/>
    </sheetView>
  </sheetViews>
  <sheetFormatPr defaultColWidth="8.90625" defaultRowHeight="15.6" x14ac:dyDescent="0.25"/>
  <cols>
    <col min="1" max="1" width="11.453125" style="4" customWidth="1"/>
    <col min="2" max="3" width="27.08984375" style="4" customWidth="1"/>
    <col min="4" max="4" width="14.90625" style="4" bestFit="1" customWidth="1"/>
    <col min="5" max="5" width="34.6328125" style="4" customWidth="1"/>
    <col min="6" max="6" width="64.1796875" style="6" bestFit="1" customWidth="1"/>
    <col min="7" max="7" width="9" style="5" bestFit="1" customWidth="1"/>
    <col min="8" max="8" width="9.90625" style="5" bestFit="1" customWidth="1"/>
    <col min="9" max="9" width="13.26953125" style="5" bestFit="1" customWidth="1"/>
    <col min="10" max="10" width="13.26953125" style="4" customWidth="1"/>
    <col min="11" max="11" width="26.1796875" style="4" customWidth="1"/>
    <col min="12" max="12" width="11.7265625" style="4" bestFit="1" customWidth="1"/>
    <col min="13" max="13" width="20.36328125" style="6" bestFit="1" customWidth="1"/>
    <col min="14" max="14" width="18.08984375" style="6" bestFit="1" customWidth="1"/>
    <col min="15" max="15" width="20.81640625" style="6" bestFit="1" customWidth="1"/>
    <col min="16" max="16" width="13.26953125" style="6" bestFit="1" customWidth="1"/>
    <col min="17" max="17" width="14" style="6" bestFit="1" customWidth="1"/>
    <col min="18" max="18" width="14.6328125" style="1" bestFit="1" customWidth="1"/>
    <col min="19" max="20" width="21.7265625" style="1" bestFit="1" customWidth="1"/>
    <col min="21" max="21" width="10.81640625" style="1" bestFit="1" customWidth="1"/>
    <col min="22" max="22" width="6.54296875" style="1" customWidth="1"/>
    <col min="23" max="23" width="8.90625" style="1" customWidth="1"/>
    <col min="24" max="16384" width="8.90625" style="1"/>
  </cols>
  <sheetData>
    <row r="1" spans="1:22" s="3" customFormat="1" ht="46.8" x14ac:dyDescent="0.25">
      <c r="A1" s="49" t="s">
        <v>152</v>
      </c>
      <c r="B1" s="49" t="s">
        <v>153</v>
      </c>
      <c r="C1" s="49" t="s">
        <v>154</v>
      </c>
      <c r="D1" s="49" t="s">
        <v>155</v>
      </c>
      <c r="E1" s="49" t="s">
        <v>57</v>
      </c>
      <c r="F1" s="49" t="s">
        <v>156</v>
      </c>
      <c r="G1" s="54" t="s">
        <v>157</v>
      </c>
      <c r="H1" s="54" t="s">
        <v>158</v>
      </c>
      <c r="I1" s="54" t="s">
        <v>159</v>
      </c>
      <c r="J1" s="49" t="s">
        <v>160</v>
      </c>
      <c r="K1" s="54" t="s">
        <v>161</v>
      </c>
      <c r="L1" s="54" t="s">
        <v>162</v>
      </c>
      <c r="M1" s="54" t="s">
        <v>163</v>
      </c>
      <c r="N1" s="54" t="s">
        <v>164</v>
      </c>
      <c r="O1" s="55" t="s">
        <v>165</v>
      </c>
      <c r="P1" s="55" t="s">
        <v>166</v>
      </c>
      <c r="Q1" s="49" t="s">
        <v>167</v>
      </c>
      <c r="R1" s="49" t="s">
        <v>168</v>
      </c>
      <c r="S1" s="122" t="s">
        <v>169</v>
      </c>
      <c r="T1" s="123" t="s">
        <v>170</v>
      </c>
      <c r="U1" s="2"/>
      <c r="V1" s="2"/>
    </row>
    <row r="2" spans="1:22" s="37" customFormat="1" ht="21" x14ac:dyDescent="0.2">
      <c r="A2" s="292" t="s">
        <v>171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  <c r="S2" s="124"/>
      <c r="T2" s="125"/>
    </row>
    <row r="3" spans="1:22" ht="21" x14ac:dyDescent="0.4">
      <c r="A3" s="94"/>
      <c r="B3" s="296" t="s">
        <v>172</v>
      </c>
      <c r="C3" s="296"/>
      <c r="D3" s="297"/>
      <c r="E3" s="297"/>
      <c r="F3" s="134"/>
      <c r="G3" s="121"/>
      <c r="H3" s="121"/>
      <c r="I3" s="121"/>
      <c r="J3" s="121"/>
      <c r="K3" s="121"/>
      <c r="L3" s="121"/>
      <c r="M3" s="121"/>
      <c r="N3" s="119"/>
      <c r="O3" s="119"/>
      <c r="P3" s="119"/>
      <c r="Q3" s="119"/>
      <c r="R3" s="88"/>
      <c r="S3" s="124"/>
      <c r="T3" s="125"/>
    </row>
    <row r="4" spans="1:22" ht="23.4" x14ac:dyDescent="0.4">
      <c r="A4" s="94"/>
      <c r="B4" s="31"/>
      <c r="C4" s="180"/>
      <c r="D4" s="181" t="s">
        <v>173</v>
      </c>
      <c r="E4" s="182">
        <f>Q83</f>
        <v>16468.726229362728</v>
      </c>
      <c r="F4" s="183"/>
      <c r="G4" s="120"/>
      <c r="H4" s="31"/>
      <c r="I4" s="197"/>
      <c r="J4" s="198" t="s">
        <v>15</v>
      </c>
      <c r="K4" s="199">
        <v>46076</v>
      </c>
      <c r="L4" s="200"/>
      <c r="M4" s="201"/>
      <c r="N4" s="201"/>
      <c r="O4" s="201"/>
      <c r="P4" s="201"/>
      <c r="Q4" s="202"/>
      <c r="R4" s="135"/>
      <c r="S4" s="124"/>
      <c r="T4" s="125"/>
    </row>
    <row r="5" spans="1:22" ht="21" x14ac:dyDescent="0.4">
      <c r="A5" s="94"/>
      <c r="B5" s="184"/>
      <c r="C5" s="136" t="s">
        <v>174</v>
      </c>
      <c r="D5" s="115">
        <v>6.9720000000000004E-2</v>
      </c>
      <c r="E5" s="23">
        <f>P83*D5</f>
        <v>478.28507391000016</v>
      </c>
      <c r="F5" s="185" t="s">
        <v>175</v>
      </c>
      <c r="G5" s="120"/>
      <c r="H5" s="184"/>
      <c r="I5" s="137"/>
      <c r="J5" s="138" t="s">
        <v>17</v>
      </c>
      <c r="K5" s="139" t="s">
        <v>801</v>
      </c>
      <c r="L5" s="140"/>
      <c r="M5" s="141"/>
      <c r="N5" s="141"/>
      <c r="O5" s="141"/>
      <c r="P5" s="141"/>
      <c r="Q5" s="203"/>
      <c r="R5" s="135"/>
      <c r="S5" s="124"/>
      <c r="T5" s="125"/>
    </row>
    <row r="6" spans="1:22" ht="21" x14ac:dyDescent="0.4">
      <c r="A6" s="94"/>
      <c r="B6" s="184"/>
      <c r="C6" s="136" t="s">
        <v>176</v>
      </c>
      <c r="D6" s="116">
        <v>0.2</v>
      </c>
      <c r="E6" s="23">
        <f>P83*D6</f>
        <v>1372.0168500000004</v>
      </c>
      <c r="F6" s="185" t="s">
        <v>177</v>
      </c>
      <c r="G6" s="120"/>
      <c r="H6" s="184"/>
      <c r="I6" s="137"/>
      <c r="J6" s="138" t="s">
        <v>19</v>
      </c>
      <c r="K6" s="139" t="s">
        <v>802</v>
      </c>
      <c r="L6" s="140"/>
      <c r="M6" s="141"/>
      <c r="N6" s="141"/>
      <c r="O6" s="141"/>
      <c r="P6" s="141"/>
      <c r="Q6" s="203"/>
      <c r="R6" s="135"/>
      <c r="S6" s="124"/>
      <c r="T6" s="125"/>
    </row>
    <row r="7" spans="1:22" ht="21" x14ac:dyDescent="0.4">
      <c r="A7" s="94"/>
      <c r="B7" s="184"/>
      <c r="C7" s="136" t="s">
        <v>178</v>
      </c>
      <c r="D7" s="117">
        <v>0.2</v>
      </c>
      <c r="E7" s="24">
        <f>N83*D7</f>
        <v>1921.7283958725454</v>
      </c>
      <c r="F7" s="185" t="s">
        <v>177</v>
      </c>
      <c r="G7" s="120"/>
      <c r="H7" s="184"/>
      <c r="I7" s="137"/>
      <c r="J7" s="138" t="s">
        <v>179</v>
      </c>
      <c r="K7" s="142" t="s">
        <v>180</v>
      </c>
      <c r="L7" s="140"/>
      <c r="M7" s="141"/>
      <c r="N7" s="141"/>
      <c r="O7" s="141"/>
      <c r="P7" s="141"/>
      <c r="Q7" s="203"/>
      <c r="R7" s="135"/>
      <c r="S7" s="124"/>
      <c r="T7" s="125"/>
    </row>
    <row r="8" spans="1:22" ht="21.6" thickBot="1" x14ac:dyDescent="0.45">
      <c r="A8" s="94"/>
      <c r="B8" s="184"/>
      <c r="C8" s="29" t="s">
        <v>12</v>
      </c>
      <c r="D8" s="30">
        <v>1.4999999999999999E-2</v>
      </c>
      <c r="E8" s="25">
        <f>(E4+E5+E6+E7)*D8</f>
        <v>303.61134823717907</v>
      </c>
      <c r="F8" s="185" t="s">
        <v>181</v>
      </c>
      <c r="G8" s="120"/>
      <c r="H8" s="184"/>
      <c r="I8" s="137"/>
      <c r="J8" s="138"/>
      <c r="K8" s="142"/>
      <c r="L8" s="140"/>
      <c r="M8" s="141"/>
      <c r="N8" s="141"/>
      <c r="O8" s="141"/>
      <c r="P8" s="141"/>
      <c r="Q8" s="203"/>
      <c r="R8" s="135"/>
      <c r="S8" s="124"/>
      <c r="T8" s="125"/>
    </row>
    <row r="9" spans="1:22" ht="26.4" thickTop="1" x14ac:dyDescent="0.35">
      <c r="A9" s="94"/>
      <c r="B9" s="34"/>
      <c r="C9" s="186"/>
      <c r="D9" s="187" t="s">
        <v>182</v>
      </c>
      <c r="E9" s="188">
        <f>E4+E5+E6+E7+E8</f>
        <v>20544.367897382454</v>
      </c>
      <c r="F9" s="95"/>
      <c r="G9" s="120"/>
      <c r="H9" s="184"/>
      <c r="I9" s="137"/>
      <c r="J9" s="143" t="s">
        <v>183</v>
      </c>
      <c r="K9" s="26">
        <v>27829</v>
      </c>
      <c r="L9" s="140"/>
      <c r="M9" s="141"/>
      <c r="N9" s="141"/>
      <c r="O9" s="141"/>
      <c r="P9" s="141"/>
      <c r="Q9" s="203"/>
      <c r="R9" s="135"/>
      <c r="S9" s="124"/>
      <c r="T9" s="125"/>
    </row>
    <row r="10" spans="1:22" ht="18" x14ac:dyDescent="0.35">
      <c r="A10" s="94"/>
      <c r="B10" s="121"/>
      <c r="C10" s="121"/>
      <c r="D10" s="121"/>
      <c r="E10" s="121"/>
      <c r="F10" s="121"/>
      <c r="G10" s="120"/>
      <c r="H10" s="184"/>
      <c r="I10" s="137"/>
      <c r="J10" s="143" t="s">
        <v>184</v>
      </c>
      <c r="K10" s="26">
        <v>27829</v>
      </c>
      <c r="L10" s="140"/>
      <c r="M10" s="141"/>
      <c r="N10" s="141"/>
      <c r="O10" s="141"/>
      <c r="P10" s="141"/>
      <c r="Q10" s="203"/>
      <c r="R10" s="135"/>
      <c r="S10" s="124"/>
      <c r="T10" s="125"/>
    </row>
    <row r="11" spans="1:22" ht="18" x14ac:dyDescent="0.35">
      <c r="A11" s="94"/>
      <c r="B11" s="31"/>
      <c r="C11" s="32" t="s">
        <v>185</v>
      </c>
      <c r="D11" s="33">
        <v>0</v>
      </c>
      <c r="E11" s="189" t="s">
        <v>186</v>
      </c>
      <c r="F11" s="183"/>
      <c r="G11" s="120"/>
      <c r="H11" s="184"/>
      <c r="I11" s="137"/>
      <c r="J11" s="144" t="s">
        <v>187</v>
      </c>
      <c r="K11" s="27">
        <v>80</v>
      </c>
      <c r="L11" s="140"/>
      <c r="M11" s="141"/>
      <c r="N11" s="141"/>
      <c r="O11" s="141"/>
      <c r="P11" s="141"/>
      <c r="Q11" s="203"/>
      <c r="R11" s="135"/>
      <c r="S11" s="124"/>
      <c r="T11" s="125"/>
    </row>
    <row r="12" spans="1:22" ht="18" x14ac:dyDescent="0.35">
      <c r="A12" s="94"/>
      <c r="B12" s="34"/>
      <c r="C12" s="35" t="s">
        <v>188</v>
      </c>
      <c r="D12" s="36">
        <v>0.05</v>
      </c>
      <c r="E12" s="145" t="s">
        <v>189</v>
      </c>
      <c r="F12" s="88"/>
      <c r="G12" s="120"/>
      <c r="H12" s="184"/>
      <c r="I12" s="137"/>
      <c r="J12" s="144" t="s">
        <v>190</v>
      </c>
      <c r="K12" s="28" t="s">
        <v>724</v>
      </c>
      <c r="L12" s="140"/>
      <c r="M12" s="141"/>
      <c r="N12" s="141"/>
      <c r="O12" s="141"/>
      <c r="P12" s="141"/>
      <c r="Q12" s="203"/>
      <c r="R12" s="135"/>
      <c r="S12" s="124"/>
      <c r="T12" s="125"/>
    </row>
    <row r="13" spans="1:22" ht="18" x14ac:dyDescent="0.35">
      <c r="A13" s="94"/>
      <c r="B13" s="190" t="s">
        <v>191</v>
      </c>
      <c r="C13" s="191"/>
      <c r="D13" s="191"/>
      <c r="E13" s="192"/>
      <c r="F13" s="95"/>
      <c r="G13" s="120"/>
      <c r="H13" s="184"/>
      <c r="I13" s="137"/>
      <c r="J13" s="143" t="s">
        <v>192</v>
      </c>
      <c r="K13" s="27">
        <v>0</v>
      </c>
      <c r="L13" s="140"/>
      <c r="M13" s="141"/>
      <c r="N13" s="141"/>
      <c r="O13" s="141"/>
      <c r="P13" s="141"/>
      <c r="Q13" s="203"/>
      <c r="R13" s="135"/>
      <c r="S13" s="124"/>
      <c r="T13" s="125"/>
    </row>
    <row r="14" spans="1:22" ht="21" x14ac:dyDescent="0.35">
      <c r="A14" s="94"/>
      <c r="B14" s="146"/>
      <c r="C14" s="146"/>
      <c r="D14" s="147"/>
      <c r="E14" s="147"/>
      <c r="F14" s="134"/>
      <c r="G14" s="120"/>
      <c r="H14" s="184"/>
      <c r="I14" s="137"/>
      <c r="J14" s="143" t="s">
        <v>193</v>
      </c>
      <c r="K14" s="27">
        <v>0</v>
      </c>
      <c r="L14" s="140"/>
      <c r="M14" s="141"/>
      <c r="N14" s="141"/>
      <c r="O14" s="141"/>
      <c r="P14" s="141"/>
      <c r="Q14" s="203"/>
      <c r="R14" s="135"/>
      <c r="S14" s="124"/>
      <c r="T14" s="125"/>
    </row>
    <row r="15" spans="1:22" ht="21" x14ac:dyDescent="0.4">
      <c r="A15" s="94"/>
      <c r="B15" s="193" t="s">
        <v>194</v>
      </c>
      <c r="C15" s="194"/>
      <c r="D15" s="195"/>
      <c r="E15" s="195"/>
      <c r="F15" s="196"/>
      <c r="G15" s="120"/>
      <c r="H15" s="34"/>
      <c r="I15" s="204"/>
      <c r="J15" s="205"/>
      <c r="K15" s="28"/>
      <c r="L15" s="206"/>
      <c r="M15" s="207"/>
      <c r="N15" s="207"/>
      <c r="O15" s="207"/>
      <c r="P15" s="207"/>
      <c r="Q15" s="208"/>
      <c r="R15" s="135"/>
      <c r="S15" s="126"/>
      <c r="T15" s="127"/>
      <c r="U15" s="12"/>
    </row>
    <row r="16" spans="1:22" ht="21" x14ac:dyDescent="0.25">
      <c r="A16" s="94"/>
      <c r="B16" s="147"/>
      <c r="C16" s="147"/>
      <c r="D16" s="147"/>
      <c r="E16" s="295"/>
      <c r="F16" s="295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48"/>
      <c r="S16" s="126"/>
      <c r="T16" s="128"/>
      <c r="U16" s="12"/>
    </row>
    <row r="17" spans="1:22" s="3" customFormat="1" ht="46.8" x14ac:dyDescent="0.25">
      <c r="A17" s="49" t="s">
        <v>152</v>
      </c>
      <c r="B17" s="49" t="s">
        <v>153</v>
      </c>
      <c r="C17" s="49" t="s">
        <v>154</v>
      </c>
      <c r="D17" s="49" t="s">
        <v>155</v>
      </c>
      <c r="E17" s="49" t="s">
        <v>57</v>
      </c>
      <c r="F17" s="170" t="s">
        <v>156</v>
      </c>
      <c r="G17" s="54" t="s">
        <v>157</v>
      </c>
      <c r="H17" s="54" t="s">
        <v>158</v>
      </c>
      <c r="I17" s="54" t="s">
        <v>159</v>
      </c>
      <c r="J17" s="98" t="s">
        <v>160</v>
      </c>
      <c r="K17" s="54" t="s">
        <v>161</v>
      </c>
      <c r="L17" s="54" t="s">
        <v>162</v>
      </c>
      <c r="M17" s="54" t="s">
        <v>163</v>
      </c>
      <c r="N17" s="54" t="s">
        <v>164</v>
      </c>
      <c r="O17" s="55" t="s">
        <v>165</v>
      </c>
      <c r="P17" s="55" t="s">
        <v>166</v>
      </c>
      <c r="Q17" s="49" t="s">
        <v>167</v>
      </c>
      <c r="R17" s="49" t="s">
        <v>168</v>
      </c>
      <c r="S17" s="122" t="s">
        <v>195</v>
      </c>
      <c r="T17" s="123" t="s">
        <v>196</v>
      </c>
      <c r="U17" s="2"/>
      <c r="V17" s="2"/>
    </row>
    <row r="18" spans="1:22" s="7" customFormat="1" x14ac:dyDescent="0.25">
      <c r="A18" s="209"/>
      <c r="B18" s="209"/>
      <c r="C18" s="209"/>
      <c r="D18" s="209" t="s">
        <v>26</v>
      </c>
      <c r="E18" s="210"/>
      <c r="F18" s="211" t="s">
        <v>197</v>
      </c>
      <c r="G18" s="212"/>
      <c r="H18" s="211"/>
      <c r="I18" s="213"/>
      <c r="J18" s="213"/>
      <c r="K18" s="211"/>
      <c r="L18" s="211"/>
      <c r="M18" s="211"/>
      <c r="N18" s="211"/>
      <c r="O18" s="211"/>
      <c r="P18" s="211"/>
      <c r="Q18" s="211"/>
      <c r="R18" s="214">
        <f>SUM(Q19:Q65)</f>
        <v>1152.7564643627252</v>
      </c>
      <c r="S18" s="129">
        <f>U18</f>
        <v>15315.969765</v>
      </c>
      <c r="T18" s="130"/>
      <c r="U18" s="13">
        <f>SUM(Q67:Q82)</f>
        <v>15315.969765</v>
      </c>
    </row>
    <row r="19" spans="1:22" s="7" customFormat="1" x14ac:dyDescent="0.25">
      <c r="A19" s="149"/>
      <c r="B19" s="50"/>
      <c r="C19" s="50"/>
      <c r="D19" s="100"/>
      <c r="E19" s="178"/>
      <c r="F19" s="171" t="s">
        <v>222</v>
      </c>
      <c r="G19" s="51"/>
      <c r="H19" s="52"/>
      <c r="I19" s="53"/>
      <c r="J19" s="99"/>
      <c r="K19" s="56"/>
      <c r="L19" s="57"/>
      <c r="M19" s="58"/>
      <c r="N19" s="59"/>
      <c r="O19" s="61"/>
      <c r="P19" s="61"/>
      <c r="Q19" s="62"/>
      <c r="R19" s="150"/>
      <c r="S19" s="124"/>
      <c r="T19" s="125"/>
      <c r="U19" s="14"/>
    </row>
    <row r="20" spans="1:22" s="7" customFormat="1" x14ac:dyDescent="0.25">
      <c r="A20" s="149"/>
      <c r="B20" s="50"/>
      <c r="C20" s="50"/>
      <c r="D20" s="100"/>
      <c r="E20" s="178"/>
      <c r="F20" s="172" t="s">
        <v>729</v>
      </c>
      <c r="G20" s="51"/>
      <c r="H20" s="52"/>
      <c r="I20" s="53"/>
      <c r="J20" s="99"/>
      <c r="K20" s="56"/>
      <c r="L20" s="60"/>
      <c r="M20" s="58"/>
      <c r="N20" s="59"/>
      <c r="O20" s="61"/>
      <c r="P20" s="61"/>
      <c r="Q20" s="62"/>
      <c r="R20" s="151"/>
      <c r="S20" s="124"/>
      <c r="T20" s="125"/>
    </row>
    <row r="21" spans="1:22" s="7" customFormat="1" x14ac:dyDescent="0.25">
      <c r="A21" s="152">
        <f>IF(J21&lt;&gt;"",1+MAX($A$18:A20),"")</f>
        <v>1</v>
      </c>
      <c r="B21" s="50"/>
      <c r="C21" s="50"/>
      <c r="D21" s="100" t="s">
        <v>26</v>
      </c>
      <c r="E21" s="178" t="s">
        <v>27</v>
      </c>
      <c r="F21" s="171" t="s">
        <v>730</v>
      </c>
      <c r="G21" s="51">
        <v>1</v>
      </c>
      <c r="H21" s="52">
        <f>IF(VLOOKUP(J21,'HOURLY RATES'!B$116:C$124,2,0)=0,$J$3,VLOOKUP(J21,'HOURLY RATES'!B$116:C$124,2,0))</f>
        <v>0</v>
      </c>
      <c r="I21" s="53">
        <f>(G21*(1+H21))</f>
        <v>1</v>
      </c>
      <c r="J21" s="99" t="s">
        <v>198</v>
      </c>
      <c r="K21" s="291"/>
      <c r="L21" s="60">
        <f>K21*I21</f>
        <v>0</v>
      </c>
      <c r="M21" s="58">
        <f>IF(VLOOKUP(E21,'HOURLY RATES'!C$6:D$105,2,0)=0,$E$3,VLOOKUP(E21,'HOURLY RATES'!C$6:D$105,2,0))</f>
        <v>54</v>
      </c>
      <c r="N21" s="58">
        <f>M21*L21</f>
        <v>0</v>
      </c>
      <c r="O21" s="61"/>
      <c r="P21" s="61">
        <f t="shared" ref="P21:P31" si="0">O21*I21</f>
        <v>0</v>
      </c>
      <c r="Q21" s="62">
        <f>P21+N21</f>
        <v>0</v>
      </c>
      <c r="R21" s="151"/>
      <c r="S21" s="131">
        <f t="shared" ref="S21:S31" si="1">((((N21*(1+$D$7))+(P21*(1+$D$5+$D$6)))*(1+$D$8)))/I21</f>
        <v>0</v>
      </c>
      <c r="T21" s="130">
        <f>S21*I21</f>
        <v>0</v>
      </c>
    </row>
    <row r="22" spans="1:22" s="7" customFormat="1" x14ac:dyDescent="0.25">
      <c r="A22" s="152">
        <f>IF(J22&lt;&gt;"",1+MAX($A$18:A21),"")</f>
        <v>2</v>
      </c>
      <c r="B22" s="50"/>
      <c r="C22" s="50"/>
      <c r="D22" s="100" t="s">
        <v>26</v>
      </c>
      <c r="E22" s="178" t="s">
        <v>27</v>
      </c>
      <c r="F22" s="171" t="s">
        <v>731</v>
      </c>
      <c r="G22" s="51">
        <v>1</v>
      </c>
      <c r="H22" s="52">
        <f>IF(VLOOKUP(J22,'HOURLY RATES'!B$116:C$124,2,0)=0,$J$3,VLOOKUP(J22,'HOURLY RATES'!B$116:C$124,2,0))</f>
        <v>0</v>
      </c>
      <c r="I22" s="53">
        <f t="shared" ref="I22:I31" si="2">(G22*(1+H22))</f>
        <v>1</v>
      </c>
      <c r="J22" s="99" t="s">
        <v>198</v>
      </c>
      <c r="K22" s="291"/>
      <c r="L22" s="60">
        <f t="shared" ref="L22:L31" si="3">K22*I22</f>
        <v>0</v>
      </c>
      <c r="M22" s="58">
        <f>IF(VLOOKUP(E22,'HOURLY RATES'!C$6:D$105,2,0)=0,$E$3,VLOOKUP(E22,'HOURLY RATES'!C$6:D$105,2,0))</f>
        <v>54</v>
      </c>
      <c r="N22" s="58">
        <f t="shared" ref="N22:N31" si="4">M22*L22</f>
        <v>0</v>
      </c>
      <c r="O22" s="61"/>
      <c r="P22" s="61">
        <f t="shared" si="0"/>
        <v>0</v>
      </c>
      <c r="Q22" s="62">
        <f t="shared" ref="Q22:Q62" si="5">P22+N22</f>
        <v>0</v>
      </c>
      <c r="R22" s="151"/>
      <c r="S22" s="131">
        <f t="shared" si="1"/>
        <v>0</v>
      </c>
      <c r="T22" s="130">
        <f t="shared" ref="T22:T31" si="6">S22*I22</f>
        <v>0</v>
      </c>
    </row>
    <row r="23" spans="1:22" s="7" customFormat="1" x14ac:dyDescent="0.25">
      <c r="A23" s="152">
        <f>IF(J23&lt;&gt;"",1+MAX($A$18:A22),"")</f>
        <v>3</v>
      </c>
      <c r="B23" s="50"/>
      <c r="C23" s="50"/>
      <c r="D23" s="100" t="s">
        <v>26</v>
      </c>
      <c r="E23" s="178" t="s">
        <v>27</v>
      </c>
      <c r="F23" s="171" t="s">
        <v>199</v>
      </c>
      <c r="G23" s="51">
        <v>1</v>
      </c>
      <c r="H23" s="52">
        <f>IF(VLOOKUP(J23,'HOURLY RATES'!B$116:C$124,2,0)=0,$J$3,VLOOKUP(J23,'HOURLY RATES'!B$116:C$124,2,0))</f>
        <v>0</v>
      </c>
      <c r="I23" s="53">
        <f t="shared" si="2"/>
        <v>1</v>
      </c>
      <c r="J23" s="99" t="s">
        <v>198</v>
      </c>
      <c r="K23" s="291"/>
      <c r="L23" s="60">
        <f t="shared" si="3"/>
        <v>0</v>
      </c>
      <c r="M23" s="58">
        <f>IF(VLOOKUP(E23,'HOURLY RATES'!C$6:D$105,2,0)=0,$E$3,VLOOKUP(E23,'HOURLY RATES'!C$6:D$105,2,0))</f>
        <v>54</v>
      </c>
      <c r="N23" s="58">
        <f t="shared" si="4"/>
        <v>0</v>
      </c>
      <c r="O23" s="61"/>
      <c r="P23" s="61">
        <f t="shared" si="0"/>
        <v>0</v>
      </c>
      <c r="Q23" s="62">
        <f t="shared" si="5"/>
        <v>0</v>
      </c>
      <c r="R23" s="151"/>
      <c r="S23" s="131">
        <f t="shared" si="1"/>
        <v>0</v>
      </c>
      <c r="T23" s="130">
        <f t="shared" si="6"/>
        <v>0</v>
      </c>
    </row>
    <row r="24" spans="1:22" s="7" customFormat="1" x14ac:dyDescent="0.25">
      <c r="A24" s="152">
        <f>IF(J24&lt;&gt;"",1+MAX($A$18:A23),"")</f>
        <v>4</v>
      </c>
      <c r="B24" s="50"/>
      <c r="C24" s="50"/>
      <c r="D24" s="100" t="s">
        <v>26</v>
      </c>
      <c r="E24" s="178" t="s">
        <v>27</v>
      </c>
      <c r="F24" s="171" t="s">
        <v>732</v>
      </c>
      <c r="G24" s="51">
        <v>1</v>
      </c>
      <c r="H24" s="52">
        <f>IF(VLOOKUP(J24,'HOURLY RATES'!B$116:C$124,2,0)=0,$J$3,VLOOKUP(J24,'HOURLY RATES'!B$116:C$124,2,0))</f>
        <v>0</v>
      </c>
      <c r="I24" s="53">
        <f t="shared" si="2"/>
        <v>1</v>
      </c>
      <c r="J24" s="99" t="s">
        <v>198</v>
      </c>
      <c r="K24" s="291"/>
      <c r="L24" s="60">
        <f t="shared" si="3"/>
        <v>0</v>
      </c>
      <c r="M24" s="58">
        <f>IF(VLOOKUP(E24,'HOURLY RATES'!C$6:D$105,2,0)=0,$E$3,VLOOKUP(E24,'HOURLY RATES'!C$6:D$105,2,0))</f>
        <v>54</v>
      </c>
      <c r="N24" s="58">
        <f t="shared" si="4"/>
        <v>0</v>
      </c>
      <c r="O24" s="61"/>
      <c r="P24" s="61">
        <f t="shared" si="0"/>
        <v>0</v>
      </c>
      <c r="Q24" s="62">
        <f t="shared" si="5"/>
        <v>0</v>
      </c>
      <c r="R24" s="151"/>
      <c r="S24" s="131">
        <f t="shared" si="1"/>
        <v>0</v>
      </c>
      <c r="T24" s="130">
        <f t="shared" si="6"/>
        <v>0</v>
      </c>
    </row>
    <row r="25" spans="1:22" s="7" customFormat="1" x14ac:dyDescent="0.25">
      <c r="A25" s="152">
        <f>IF(J25&lt;&gt;"",1+MAX($A$18:A24),"")</f>
        <v>5</v>
      </c>
      <c r="B25" s="50"/>
      <c r="C25" s="50"/>
      <c r="D25" s="100" t="s">
        <v>26</v>
      </c>
      <c r="E25" s="178" t="s">
        <v>27</v>
      </c>
      <c r="F25" s="171" t="s">
        <v>733</v>
      </c>
      <c r="G25" s="51">
        <v>1</v>
      </c>
      <c r="H25" s="52">
        <f>IF(VLOOKUP(J25,'HOURLY RATES'!B$116:C$124,2,0)=0,$J$3,VLOOKUP(J25,'HOURLY RATES'!B$116:C$124,2,0))</f>
        <v>0</v>
      </c>
      <c r="I25" s="53">
        <f t="shared" si="2"/>
        <v>1</v>
      </c>
      <c r="J25" s="99" t="s">
        <v>198</v>
      </c>
      <c r="K25" s="291"/>
      <c r="L25" s="60">
        <f t="shared" si="3"/>
        <v>0</v>
      </c>
      <c r="M25" s="58">
        <f>IF(VLOOKUP(E25,'HOURLY RATES'!C$6:D$105,2,0)=0,$E$3,VLOOKUP(E25,'HOURLY RATES'!C$6:D$105,2,0))</f>
        <v>54</v>
      </c>
      <c r="N25" s="58">
        <f t="shared" si="4"/>
        <v>0</v>
      </c>
      <c r="O25" s="61"/>
      <c r="P25" s="61">
        <f t="shared" si="0"/>
        <v>0</v>
      </c>
      <c r="Q25" s="62">
        <f t="shared" si="5"/>
        <v>0</v>
      </c>
      <c r="R25" s="151"/>
      <c r="S25" s="131">
        <f t="shared" si="1"/>
        <v>0</v>
      </c>
      <c r="T25" s="130">
        <f t="shared" si="6"/>
        <v>0</v>
      </c>
    </row>
    <row r="26" spans="1:22" s="7" customFormat="1" x14ac:dyDescent="0.25">
      <c r="A26" s="152">
        <f>IF(J26&lt;&gt;"",1+MAX($A$18:A25),"")</f>
        <v>6</v>
      </c>
      <c r="B26" s="50"/>
      <c r="C26" s="50"/>
      <c r="D26" s="100" t="s">
        <v>26</v>
      </c>
      <c r="E26" s="178" t="s">
        <v>27</v>
      </c>
      <c r="F26" s="171" t="s">
        <v>200</v>
      </c>
      <c r="G26" s="51">
        <v>1</v>
      </c>
      <c r="H26" s="52">
        <f>IF(VLOOKUP(J26,'HOURLY RATES'!B$116:C$124,2,0)=0,$J$3,VLOOKUP(J26,'HOURLY RATES'!B$116:C$124,2,0))</f>
        <v>0</v>
      </c>
      <c r="I26" s="53">
        <f t="shared" si="2"/>
        <v>1</v>
      </c>
      <c r="J26" s="99" t="s">
        <v>198</v>
      </c>
      <c r="K26" s="291"/>
      <c r="L26" s="60">
        <f t="shared" si="3"/>
        <v>0</v>
      </c>
      <c r="M26" s="58">
        <f>IF(VLOOKUP(E26,'HOURLY RATES'!C$6:D$105,2,0)=0,$E$3,VLOOKUP(E26,'HOURLY RATES'!C$6:D$105,2,0))</f>
        <v>54</v>
      </c>
      <c r="N26" s="58">
        <f t="shared" si="4"/>
        <v>0</v>
      </c>
      <c r="O26" s="61"/>
      <c r="P26" s="61">
        <f t="shared" si="0"/>
        <v>0</v>
      </c>
      <c r="Q26" s="62">
        <f t="shared" si="5"/>
        <v>0</v>
      </c>
      <c r="R26" s="151"/>
      <c r="S26" s="131">
        <f t="shared" si="1"/>
        <v>0</v>
      </c>
      <c r="T26" s="130">
        <f t="shared" si="6"/>
        <v>0</v>
      </c>
    </row>
    <row r="27" spans="1:22" s="7" customFormat="1" x14ac:dyDescent="0.25">
      <c r="A27" s="152">
        <f>IF(J27&lt;&gt;"",1+MAX($A$18:A26),"")</f>
        <v>7</v>
      </c>
      <c r="B27" s="50"/>
      <c r="C27" s="50"/>
      <c r="D27" s="100" t="s">
        <v>26</v>
      </c>
      <c r="E27" s="178" t="s">
        <v>27</v>
      </c>
      <c r="F27" s="171" t="s">
        <v>201</v>
      </c>
      <c r="G27" s="51">
        <v>1</v>
      </c>
      <c r="H27" s="52">
        <f>IF(VLOOKUP(J27,'HOURLY RATES'!B$116:C$124,2,0)=0,$J$3,VLOOKUP(J27,'HOURLY RATES'!B$116:C$124,2,0))</f>
        <v>0</v>
      </c>
      <c r="I27" s="53">
        <f t="shared" si="2"/>
        <v>1</v>
      </c>
      <c r="J27" s="99" t="s">
        <v>198</v>
      </c>
      <c r="K27" s="153">
        <f>1%*($S$18)/M27</f>
        <v>2.8362906972222222</v>
      </c>
      <c r="L27" s="60">
        <f t="shared" si="3"/>
        <v>2.8362906972222222</v>
      </c>
      <c r="M27" s="58">
        <f>IF(VLOOKUP(E27,'HOURLY RATES'!C$6:D$105,2,0)=0,$E$3,VLOOKUP(E27,'HOURLY RATES'!C$6:D$105,2,0))</f>
        <v>54</v>
      </c>
      <c r="N27" s="58">
        <f t="shared" si="4"/>
        <v>153.15969765</v>
      </c>
      <c r="O27" s="61"/>
      <c r="P27" s="61">
        <f t="shared" si="0"/>
        <v>0</v>
      </c>
      <c r="Q27" s="62">
        <f t="shared" si="5"/>
        <v>153.15969765</v>
      </c>
      <c r="R27" s="151"/>
      <c r="S27" s="131">
        <f t="shared" si="1"/>
        <v>186.54851173769995</v>
      </c>
      <c r="T27" s="130">
        <f t="shared" si="6"/>
        <v>186.54851173769995</v>
      </c>
    </row>
    <row r="28" spans="1:22" s="7" customFormat="1" x14ac:dyDescent="0.25">
      <c r="A28" s="152">
        <f>IF(J28&lt;&gt;"",1+MAX($A$18:A27),"")</f>
        <v>8</v>
      </c>
      <c r="B28" s="50"/>
      <c r="C28" s="50"/>
      <c r="D28" s="100" t="s">
        <v>26</v>
      </c>
      <c r="E28" s="178" t="s">
        <v>27</v>
      </c>
      <c r="F28" s="171" t="s">
        <v>734</v>
      </c>
      <c r="G28" s="51">
        <v>1</v>
      </c>
      <c r="H28" s="52">
        <f>IF(VLOOKUP(J28,'HOURLY RATES'!B$116:C$124,2,0)=0,$J$3,VLOOKUP(J28,'HOURLY RATES'!B$116:C$124,2,0))</f>
        <v>0</v>
      </c>
      <c r="I28" s="53">
        <f t="shared" si="2"/>
        <v>1</v>
      </c>
      <c r="J28" s="99" t="s">
        <v>198</v>
      </c>
      <c r="K28" s="153"/>
      <c r="L28" s="60">
        <f t="shared" si="3"/>
        <v>0</v>
      </c>
      <c r="M28" s="58">
        <f>IF(VLOOKUP(E28,'HOURLY RATES'!C$6:D$105,2,0)=0,$E$3,VLOOKUP(E28,'HOURLY RATES'!C$6:D$105,2,0))</f>
        <v>54</v>
      </c>
      <c r="N28" s="58">
        <f t="shared" si="4"/>
        <v>0</v>
      </c>
      <c r="O28" s="61"/>
      <c r="P28" s="61">
        <f t="shared" si="0"/>
        <v>0</v>
      </c>
      <c r="Q28" s="62">
        <f t="shared" si="5"/>
        <v>0</v>
      </c>
      <c r="R28" s="151"/>
      <c r="S28" s="131">
        <f t="shared" si="1"/>
        <v>0</v>
      </c>
      <c r="T28" s="130">
        <f t="shared" si="6"/>
        <v>0</v>
      </c>
    </row>
    <row r="29" spans="1:22" s="7" customFormat="1" x14ac:dyDescent="0.25">
      <c r="A29" s="152">
        <f>IF(J29&lt;&gt;"",1+MAX($A$18:A28),"")</f>
        <v>9</v>
      </c>
      <c r="B29" s="50"/>
      <c r="C29" s="50"/>
      <c r="D29" s="100" t="s">
        <v>26</v>
      </c>
      <c r="E29" s="178" t="s">
        <v>27</v>
      </c>
      <c r="F29" s="171" t="s">
        <v>202</v>
      </c>
      <c r="G29" s="51">
        <v>1</v>
      </c>
      <c r="H29" s="52">
        <f>IF(VLOOKUP(J29,'HOURLY RATES'!B$116:C$124,2,0)=0,$J$3,VLOOKUP(J29,'HOURLY RATES'!B$116:C$124,2,0))</f>
        <v>0</v>
      </c>
      <c r="I29" s="53">
        <f t="shared" si="2"/>
        <v>1</v>
      </c>
      <c r="J29" s="99" t="s">
        <v>198</v>
      </c>
      <c r="K29" s="153"/>
      <c r="L29" s="60">
        <f t="shared" si="3"/>
        <v>0</v>
      </c>
      <c r="M29" s="58">
        <f>IF(VLOOKUP(E29,'HOURLY RATES'!C$6:D$105,2,0)=0,$E$3,VLOOKUP(E29,'HOURLY RATES'!C$6:D$105,2,0))</f>
        <v>54</v>
      </c>
      <c r="N29" s="58">
        <f t="shared" si="4"/>
        <v>0</v>
      </c>
      <c r="O29" s="61"/>
      <c r="P29" s="61">
        <f t="shared" si="0"/>
        <v>0</v>
      </c>
      <c r="Q29" s="62">
        <f t="shared" si="5"/>
        <v>0</v>
      </c>
      <c r="R29" s="151"/>
      <c r="S29" s="131">
        <f t="shared" si="1"/>
        <v>0</v>
      </c>
      <c r="T29" s="130">
        <f t="shared" si="6"/>
        <v>0</v>
      </c>
    </row>
    <row r="30" spans="1:22" s="7" customFormat="1" x14ac:dyDescent="0.25">
      <c r="A30" s="152">
        <f>IF(J30&lt;&gt;"",1+MAX($A$18:A29),"")</f>
        <v>10</v>
      </c>
      <c r="B30" s="50"/>
      <c r="C30" s="50"/>
      <c r="D30" s="100" t="s">
        <v>26</v>
      </c>
      <c r="E30" s="178" t="s">
        <v>27</v>
      </c>
      <c r="F30" s="171" t="s">
        <v>203</v>
      </c>
      <c r="G30" s="51">
        <v>1</v>
      </c>
      <c r="H30" s="52">
        <f>IF(VLOOKUP(J30,'HOURLY RATES'!B$116:C$124,2,0)=0,$J$3,VLOOKUP(J30,'HOURLY RATES'!B$116:C$124,2,0))</f>
        <v>0</v>
      </c>
      <c r="I30" s="53">
        <f t="shared" si="2"/>
        <v>1</v>
      </c>
      <c r="J30" s="99" t="s">
        <v>198</v>
      </c>
      <c r="K30" s="153"/>
      <c r="L30" s="60">
        <f t="shared" si="3"/>
        <v>0</v>
      </c>
      <c r="M30" s="58">
        <f>IF(VLOOKUP(E30,'HOURLY RATES'!C$6:D$105,2,0)=0,$E$3,VLOOKUP(E30,'HOURLY RATES'!C$6:D$105,2,0))</f>
        <v>54</v>
      </c>
      <c r="N30" s="58">
        <f t="shared" si="4"/>
        <v>0</v>
      </c>
      <c r="O30" s="61"/>
      <c r="P30" s="61">
        <f t="shared" si="0"/>
        <v>0</v>
      </c>
      <c r="Q30" s="62">
        <f t="shared" si="5"/>
        <v>0</v>
      </c>
      <c r="R30" s="151"/>
      <c r="S30" s="131">
        <f t="shared" si="1"/>
        <v>0</v>
      </c>
      <c r="T30" s="130">
        <f t="shared" si="6"/>
        <v>0</v>
      </c>
    </row>
    <row r="31" spans="1:22" s="7" customFormat="1" x14ac:dyDescent="0.25">
      <c r="A31" s="152">
        <f>IF(J31&lt;&gt;"",1+MAX($A$18:A30),"")</f>
        <v>11</v>
      </c>
      <c r="B31" s="50"/>
      <c r="C31" s="50"/>
      <c r="D31" s="100" t="s">
        <v>26</v>
      </c>
      <c r="E31" s="178" t="s">
        <v>27</v>
      </c>
      <c r="F31" s="171" t="s">
        <v>735</v>
      </c>
      <c r="G31" s="51">
        <v>1</v>
      </c>
      <c r="H31" s="52">
        <f>IF(VLOOKUP(J31,'HOURLY RATES'!B$116:C$124,2,0)=0,$J$3,VLOOKUP(J31,'HOURLY RATES'!B$116:C$124,2,0))</f>
        <v>0</v>
      </c>
      <c r="I31" s="53">
        <f t="shared" si="2"/>
        <v>1</v>
      </c>
      <c r="J31" s="99" t="s">
        <v>198</v>
      </c>
      <c r="K31" s="153"/>
      <c r="L31" s="60">
        <f t="shared" si="3"/>
        <v>0</v>
      </c>
      <c r="M31" s="58">
        <f>IF(VLOOKUP(E31,'HOURLY RATES'!C$6:D$105,2,0)=0,$E$3,VLOOKUP(E31,'HOURLY RATES'!C$6:D$105,2,0))</f>
        <v>54</v>
      </c>
      <c r="N31" s="58">
        <f t="shared" si="4"/>
        <v>0</v>
      </c>
      <c r="O31" s="61"/>
      <c r="P31" s="61">
        <f t="shared" si="0"/>
        <v>0</v>
      </c>
      <c r="Q31" s="62">
        <f t="shared" si="5"/>
        <v>0</v>
      </c>
      <c r="R31" s="151"/>
      <c r="S31" s="131">
        <f t="shared" si="1"/>
        <v>0</v>
      </c>
      <c r="T31" s="130">
        <f t="shared" si="6"/>
        <v>0</v>
      </c>
    </row>
    <row r="32" spans="1:22" s="7" customFormat="1" x14ac:dyDescent="0.25">
      <c r="A32" s="152" t="str">
        <f>IF(J32&lt;&gt;"",1+MAX($A$18:A31),"")</f>
        <v/>
      </c>
      <c r="B32" s="50"/>
      <c r="C32" s="50"/>
      <c r="D32" s="100"/>
      <c r="E32" s="178"/>
      <c r="F32" s="171" t="s">
        <v>222</v>
      </c>
      <c r="G32" s="51"/>
      <c r="H32" s="52"/>
      <c r="I32" s="53"/>
      <c r="J32" s="99"/>
      <c r="K32" s="153"/>
      <c r="L32" s="57"/>
      <c r="M32" s="58"/>
      <c r="N32" s="59"/>
      <c r="O32" s="61"/>
      <c r="P32" s="61"/>
      <c r="Q32" s="62"/>
      <c r="R32" s="151"/>
      <c r="S32" s="131"/>
      <c r="T32" s="130"/>
    </row>
    <row r="33" spans="1:20" s="7" customFormat="1" x14ac:dyDescent="0.25">
      <c r="A33" s="152" t="str">
        <f>IF(J33&lt;&gt;"",1+MAX($A$18:A32),"")</f>
        <v/>
      </c>
      <c r="B33" s="50"/>
      <c r="C33" s="50"/>
      <c r="D33" s="100"/>
      <c r="E33" s="178"/>
      <c r="F33" s="172" t="s">
        <v>53</v>
      </c>
      <c r="G33" s="51"/>
      <c r="H33" s="52"/>
      <c r="I33" s="53"/>
      <c r="J33" s="99"/>
      <c r="K33" s="153"/>
      <c r="L33" s="57"/>
      <c r="M33" s="58"/>
      <c r="N33" s="59"/>
      <c r="O33" s="61"/>
      <c r="P33" s="61"/>
      <c r="Q33" s="62"/>
      <c r="R33" s="151"/>
      <c r="S33" s="131"/>
      <c r="T33" s="130"/>
    </row>
    <row r="34" spans="1:20" s="7" customFormat="1" x14ac:dyDescent="0.25">
      <c r="A34" s="152">
        <f>IF(J34&lt;&gt;"",1+MAX($A$18:A33),"")</f>
        <v>12</v>
      </c>
      <c r="B34" s="50"/>
      <c r="C34" s="50"/>
      <c r="D34" s="100" t="s">
        <v>26</v>
      </c>
      <c r="E34" s="178" t="s">
        <v>27</v>
      </c>
      <c r="F34" s="171" t="s">
        <v>736</v>
      </c>
      <c r="G34" s="51">
        <v>1</v>
      </c>
      <c r="H34" s="52">
        <f>IF(VLOOKUP(J34,'HOURLY RATES'!B$116:C$124,2,0)=0,$J$3,VLOOKUP(J34,'HOURLY RATES'!B$116:C$124,2,0))</f>
        <v>0</v>
      </c>
      <c r="I34" s="53">
        <f t="shared" ref="I34:I36" si="7">(G34*(1+H34))</f>
        <v>1</v>
      </c>
      <c r="J34" s="99" t="s">
        <v>198</v>
      </c>
      <c r="K34" s="153">
        <f>(0.288%*(S18)/M34)*2</f>
        <v>1.6337034415999998</v>
      </c>
      <c r="L34" s="60">
        <f t="shared" ref="L34:L36" si="8">K34*I34</f>
        <v>1.6337034415999998</v>
      </c>
      <c r="M34" s="58">
        <f>IF(VLOOKUP(E34,'HOURLY RATES'!C$6:D$105,2,0)=0,$E$3,VLOOKUP(E34,'HOURLY RATES'!C$6:D$105,2,0))</f>
        <v>54</v>
      </c>
      <c r="N34" s="58">
        <f t="shared" ref="N34:N36" si="9">M34*L34</f>
        <v>88.219985846399993</v>
      </c>
      <c r="O34" s="61"/>
      <c r="P34" s="61">
        <f t="shared" ref="P34:P36" si="10">O34*I34</f>
        <v>0</v>
      </c>
      <c r="Q34" s="62">
        <f t="shared" ref="Q34:Q36" si="11">P34+N34</f>
        <v>88.219985846399993</v>
      </c>
      <c r="R34" s="151"/>
      <c r="S34" s="131">
        <f>((((N34*(1+$D$7))+(P34*(1+$D$5+$D$6)))*(1+$D$8)))/I34</f>
        <v>107.45194276091519</v>
      </c>
      <c r="T34" s="130">
        <f t="shared" ref="T34:T36" si="12">S34*I34</f>
        <v>107.45194276091519</v>
      </c>
    </row>
    <row r="35" spans="1:20" s="7" customFormat="1" x14ac:dyDescent="0.25">
      <c r="A35" s="152">
        <f>IF(J35&lt;&gt;"",1+MAX($A$18:A34),"")</f>
        <v>13</v>
      </c>
      <c r="B35" s="50"/>
      <c r="C35" s="50"/>
      <c r="D35" s="100" t="s">
        <v>26</v>
      </c>
      <c r="E35" s="178" t="s">
        <v>27</v>
      </c>
      <c r="F35" s="171" t="s">
        <v>737</v>
      </c>
      <c r="G35" s="51">
        <v>1</v>
      </c>
      <c r="H35" s="52">
        <f>IF(VLOOKUP(J35,'HOURLY RATES'!B$116:C$124,2,0)=0,$J$3,VLOOKUP(J35,'HOURLY RATES'!B$116:C$124,2,0))</f>
        <v>0</v>
      </c>
      <c r="I35" s="53">
        <f t="shared" si="7"/>
        <v>1</v>
      </c>
      <c r="J35" s="99" t="s">
        <v>198</v>
      </c>
      <c r="K35" s="153"/>
      <c r="L35" s="60">
        <f t="shared" si="8"/>
        <v>0</v>
      </c>
      <c r="M35" s="58">
        <f>IF(VLOOKUP(E35,'HOURLY RATES'!C$6:D$105,2,0)=0,$E$3,VLOOKUP(E35,'HOURLY RATES'!C$6:D$105,2,0))</f>
        <v>54</v>
      </c>
      <c r="N35" s="58">
        <f t="shared" si="9"/>
        <v>0</v>
      </c>
      <c r="O35" s="61"/>
      <c r="P35" s="61">
        <f t="shared" si="10"/>
        <v>0</v>
      </c>
      <c r="Q35" s="62">
        <f t="shared" si="11"/>
        <v>0</v>
      </c>
      <c r="R35" s="151"/>
      <c r="S35" s="131">
        <f>((((N35*(1+$D$7))+(P35*(1+$D$5+$D$6)))*(1+$D$8)))/I35</f>
        <v>0</v>
      </c>
      <c r="T35" s="130">
        <f t="shared" si="12"/>
        <v>0</v>
      </c>
    </row>
    <row r="36" spans="1:20" s="7" customFormat="1" x14ac:dyDescent="0.25">
      <c r="A36" s="152">
        <f>IF(J36&lt;&gt;"",1+MAX($A$18:A35),"")</f>
        <v>14</v>
      </c>
      <c r="B36" s="50"/>
      <c r="C36" s="50"/>
      <c r="D36" s="100" t="s">
        <v>26</v>
      </c>
      <c r="E36" s="178" t="s">
        <v>27</v>
      </c>
      <c r="F36" s="171" t="s">
        <v>738</v>
      </c>
      <c r="G36" s="51">
        <v>1</v>
      </c>
      <c r="H36" s="52">
        <f>IF(VLOOKUP(J36,'HOURLY RATES'!B$116:C$124,2,0)=0,$J$3,VLOOKUP(J36,'HOURLY RATES'!B$116:C$124,2,0))</f>
        <v>0</v>
      </c>
      <c r="I36" s="53">
        <f t="shared" si="7"/>
        <v>1</v>
      </c>
      <c r="J36" s="99" t="s">
        <v>198</v>
      </c>
      <c r="K36" s="153">
        <f>(0.65%*(S18)/M36)*1.77</f>
        <v>3.2631524471541669</v>
      </c>
      <c r="L36" s="60">
        <f t="shared" si="8"/>
        <v>3.2631524471541669</v>
      </c>
      <c r="M36" s="58">
        <f>IF(VLOOKUP(E36,'HOURLY RATES'!C$6:D$105,2,0)=0,$E$3,VLOOKUP(E36,'HOURLY RATES'!C$6:D$105,2,0))</f>
        <v>54</v>
      </c>
      <c r="N36" s="58">
        <f t="shared" si="9"/>
        <v>176.21023214632501</v>
      </c>
      <c r="O36" s="61"/>
      <c r="P36" s="61">
        <f t="shared" si="10"/>
        <v>0</v>
      </c>
      <c r="Q36" s="62">
        <f t="shared" si="11"/>
        <v>176.21023214632501</v>
      </c>
      <c r="R36" s="151"/>
      <c r="S36" s="131">
        <f>((((N36*(1+$D$7))+(P36*(1+$D$5+$D$6)))*(1+$D$8)))/I36</f>
        <v>214.62406275422384</v>
      </c>
      <c r="T36" s="130">
        <f t="shared" si="12"/>
        <v>214.62406275422384</v>
      </c>
    </row>
    <row r="37" spans="1:20" s="7" customFormat="1" x14ac:dyDescent="0.25">
      <c r="A37" s="152" t="str">
        <f>IF(J37&lt;&gt;"",1+MAX($A$18:A36),"")</f>
        <v/>
      </c>
      <c r="B37" s="50"/>
      <c r="C37" s="50"/>
      <c r="D37" s="100"/>
      <c r="E37" s="178"/>
      <c r="F37" s="171" t="s">
        <v>222</v>
      </c>
      <c r="G37" s="51"/>
      <c r="H37" s="52"/>
      <c r="I37" s="53"/>
      <c r="J37" s="99"/>
      <c r="K37" s="153"/>
      <c r="L37" s="60"/>
      <c r="M37" s="58"/>
      <c r="N37" s="58"/>
      <c r="O37" s="61"/>
      <c r="P37" s="61"/>
      <c r="Q37" s="62"/>
      <c r="R37" s="151"/>
      <c r="S37" s="131"/>
      <c r="T37" s="130"/>
    </row>
    <row r="38" spans="1:20" s="7" customFormat="1" x14ac:dyDescent="0.25">
      <c r="A38" s="152" t="str">
        <f>IF(J38&lt;&gt;"",1+MAX($A$18:A37),"")</f>
        <v/>
      </c>
      <c r="B38" s="50"/>
      <c r="C38" s="50"/>
      <c r="D38" s="100"/>
      <c r="E38" s="178"/>
      <c r="F38" s="172" t="s">
        <v>739</v>
      </c>
      <c r="G38" s="51"/>
      <c r="H38" s="52"/>
      <c r="I38" s="53"/>
      <c r="J38" s="99"/>
      <c r="K38" s="153"/>
      <c r="L38" s="57"/>
      <c r="M38" s="58"/>
      <c r="N38" s="59"/>
      <c r="O38" s="61"/>
      <c r="P38" s="61"/>
      <c r="Q38" s="62"/>
      <c r="R38" s="151"/>
      <c r="S38" s="131"/>
      <c r="T38" s="130"/>
    </row>
    <row r="39" spans="1:20" s="7" customFormat="1" x14ac:dyDescent="0.25">
      <c r="A39" s="152">
        <f>IF(J39&lt;&gt;"",1+MAX($A$18:A38),"")</f>
        <v>15</v>
      </c>
      <c r="B39" s="50"/>
      <c r="C39" s="50"/>
      <c r="D39" s="100" t="s">
        <v>26</v>
      </c>
      <c r="E39" s="178" t="s">
        <v>27</v>
      </c>
      <c r="F39" s="171" t="s">
        <v>204</v>
      </c>
      <c r="G39" s="51">
        <v>1</v>
      </c>
      <c r="H39" s="52">
        <f>IF(VLOOKUP(J39,'HOURLY RATES'!B$116:C$124,2,0)=0,$J$3,VLOOKUP(J39,'HOURLY RATES'!B$116:C$124,2,0))</f>
        <v>0</v>
      </c>
      <c r="I39" s="53">
        <f t="shared" ref="I39:I44" si="13">(G39*(1+H39))</f>
        <v>1</v>
      </c>
      <c r="J39" s="99" t="s">
        <v>198</v>
      </c>
      <c r="K39" s="153"/>
      <c r="L39" s="60">
        <f t="shared" ref="L39:L44" si="14">K39*I39</f>
        <v>0</v>
      </c>
      <c r="M39" s="58">
        <f>IF(VLOOKUP(E39,'HOURLY RATES'!C$6:D$105,2,0)=0,$E$3,VLOOKUP(E39,'HOURLY RATES'!C$6:D$105,2,0))</f>
        <v>54</v>
      </c>
      <c r="N39" s="58">
        <f t="shared" ref="N39:N44" si="15">M39*L39</f>
        <v>0</v>
      </c>
      <c r="O39" s="61"/>
      <c r="P39" s="61">
        <f t="shared" ref="P39:P44" si="16">O39*I39</f>
        <v>0</v>
      </c>
      <c r="Q39" s="62">
        <f t="shared" si="5"/>
        <v>0</v>
      </c>
      <c r="R39" s="151"/>
      <c r="S39" s="131">
        <f t="shared" ref="S39:S44" si="17">((((N39*(1+$D$7))+(P39*(1+$D$5+$D$6)))*(1+$D$8)))/I39</f>
        <v>0</v>
      </c>
      <c r="T39" s="130">
        <f t="shared" ref="T39:T44" si="18">S39*I39</f>
        <v>0</v>
      </c>
    </row>
    <row r="40" spans="1:20" s="7" customFormat="1" x14ac:dyDescent="0.25">
      <c r="A40" s="152">
        <f>IF(J40&lt;&gt;"",1+MAX($A$18:A39),"")</f>
        <v>16</v>
      </c>
      <c r="B40" s="50"/>
      <c r="C40" s="50"/>
      <c r="D40" s="100" t="s">
        <v>26</v>
      </c>
      <c r="E40" s="178" t="s">
        <v>27</v>
      </c>
      <c r="F40" s="171" t="s">
        <v>205</v>
      </c>
      <c r="G40" s="51">
        <v>1</v>
      </c>
      <c r="H40" s="52">
        <f>IF(VLOOKUP(J40,'HOURLY RATES'!B$116:C$124,2,0)=0,$J$3,VLOOKUP(J40,'HOURLY RATES'!B$116:C$124,2,0))</f>
        <v>0</v>
      </c>
      <c r="I40" s="53">
        <f t="shared" si="13"/>
        <v>1</v>
      </c>
      <c r="J40" s="99" t="s">
        <v>198</v>
      </c>
      <c r="K40" s="153"/>
      <c r="L40" s="60">
        <f t="shared" si="14"/>
        <v>0</v>
      </c>
      <c r="M40" s="58">
        <f>IF(VLOOKUP(E40,'HOURLY RATES'!C$6:D$105,2,0)=0,$E$3,VLOOKUP(E40,'HOURLY RATES'!C$6:D$105,2,0))</f>
        <v>54</v>
      </c>
      <c r="N40" s="58">
        <f t="shared" si="15"/>
        <v>0</v>
      </c>
      <c r="O40" s="61"/>
      <c r="P40" s="61">
        <f t="shared" si="16"/>
        <v>0</v>
      </c>
      <c r="Q40" s="62">
        <f t="shared" si="5"/>
        <v>0</v>
      </c>
      <c r="R40" s="151"/>
      <c r="S40" s="131">
        <f t="shared" si="17"/>
        <v>0</v>
      </c>
      <c r="T40" s="130">
        <f t="shared" si="18"/>
        <v>0</v>
      </c>
    </row>
    <row r="41" spans="1:20" s="7" customFormat="1" x14ac:dyDescent="0.25">
      <c r="A41" s="152">
        <f>IF(J41&lt;&gt;"",1+MAX($A$18:A40),"")</f>
        <v>17</v>
      </c>
      <c r="B41" s="50"/>
      <c r="C41" s="50"/>
      <c r="D41" s="100" t="s">
        <v>26</v>
      </c>
      <c r="E41" s="178" t="s">
        <v>27</v>
      </c>
      <c r="F41" s="171" t="s">
        <v>206</v>
      </c>
      <c r="G41" s="51">
        <v>1</v>
      </c>
      <c r="H41" s="52">
        <f>IF(VLOOKUP(J41,'HOURLY RATES'!B$116:C$124,2,0)=0,$J$3,VLOOKUP(J41,'HOURLY RATES'!B$116:C$124,2,0))</f>
        <v>0</v>
      </c>
      <c r="I41" s="53">
        <f t="shared" si="13"/>
        <v>1</v>
      </c>
      <c r="J41" s="99" t="s">
        <v>198</v>
      </c>
      <c r="K41" s="153"/>
      <c r="L41" s="60">
        <f t="shared" si="14"/>
        <v>0</v>
      </c>
      <c r="M41" s="58">
        <f>IF(VLOOKUP(E41,'HOURLY RATES'!C$6:D$105,2,0)=0,$E$3,VLOOKUP(E41,'HOURLY RATES'!C$6:D$105,2,0))</f>
        <v>54</v>
      </c>
      <c r="N41" s="58">
        <f t="shared" si="15"/>
        <v>0</v>
      </c>
      <c r="O41" s="61"/>
      <c r="P41" s="61">
        <f t="shared" si="16"/>
        <v>0</v>
      </c>
      <c r="Q41" s="62">
        <f t="shared" si="5"/>
        <v>0</v>
      </c>
      <c r="R41" s="151"/>
      <c r="S41" s="131">
        <f t="shared" si="17"/>
        <v>0</v>
      </c>
      <c r="T41" s="130">
        <f t="shared" si="18"/>
        <v>0</v>
      </c>
    </row>
    <row r="42" spans="1:20" s="7" customFormat="1" x14ac:dyDescent="0.25">
      <c r="A42" s="152">
        <f>IF(J42&lt;&gt;"",1+MAX($A$18:A41),"")</f>
        <v>18</v>
      </c>
      <c r="B42" s="50"/>
      <c r="C42" s="50"/>
      <c r="D42" s="100" t="s">
        <v>26</v>
      </c>
      <c r="E42" s="178" t="s">
        <v>27</v>
      </c>
      <c r="F42" s="171" t="s">
        <v>207</v>
      </c>
      <c r="G42" s="51">
        <v>1</v>
      </c>
      <c r="H42" s="52">
        <f>IF(VLOOKUP(J42,'HOURLY RATES'!B$116:C$124,2,0)=0,$J$3,VLOOKUP(J42,'HOURLY RATES'!B$116:C$124,2,0))</f>
        <v>0</v>
      </c>
      <c r="I42" s="53">
        <f t="shared" si="13"/>
        <v>1</v>
      </c>
      <c r="J42" s="99" t="s">
        <v>198</v>
      </c>
      <c r="K42" s="153"/>
      <c r="L42" s="60">
        <f t="shared" si="14"/>
        <v>0</v>
      </c>
      <c r="M42" s="58">
        <f>IF(VLOOKUP(E42,'HOURLY RATES'!C$6:D$105,2,0)=0,$E$3,VLOOKUP(E42,'HOURLY RATES'!C$6:D$105,2,0))</f>
        <v>54</v>
      </c>
      <c r="N42" s="58">
        <f t="shared" si="15"/>
        <v>0</v>
      </c>
      <c r="O42" s="61"/>
      <c r="P42" s="61">
        <f t="shared" si="16"/>
        <v>0</v>
      </c>
      <c r="Q42" s="62">
        <f t="shared" si="5"/>
        <v>0</v>
      </c>
      <c r="R42" s="151"/>
      <c r="S42" s="131">
        <f t="shared" si="17"/>
        <v>0</v>
      </c>
      <c r="T42" s="130">
        <f t="shared" si="18"/>
        <v>0</v>
      </c>
    </row>
    <row r="43" spans="1:20" s="7" customFormat="1" x14ac:dyDescent="0.25">
      <c r="A43" s="152">
        <f>IF(J43&lt;&gt;"",1+MAX($A$18:A42),"")</f>
        <v>19</v>
      </c>
      <c r="B43" s="50"/>
      <c r="C43" s="50"/>
      <c r="D43" s="100" t="s">
        <v>26</v>
      </c>
      <c r="E43" s="178" t="s">
        <v>27</v>
      </c>
      <c r="F43" s="171" t="s">
        <v>208</v>
      </c>
      <c r="G43" s="51">
        <v>1</v>
      </c>
      <c r="H43" s="52">
        <f>IF(VLOOKUP(J43,'HOURLY RATES'!B$116:C$124,2,0)=0,$J$3,VLOOKUP(J43,'HOURLY RATES'!B$116:C$124,2,0))</f>
        <v>0</v>
      </c>
      <c r="I43" s="53">
        <f t="shared" si="13"/>
        <v>1</v>
      </c>
      <c r="J43" s="99" t="s">
        <v>198</v>
      </c>
      <c r="K43" s="153"/>
      <c r="L43" s="60">
        <f t="shared" si="14"/>
        <v>0</v>
      </c>
      <c r="M43" s="58">
        <f>IF(VLOOKUP(E43,'HOURLY RATES'!C$6:D$105,2,0)=0,$E$3,VLOOKUP(E43,'HOURLY RATES'!C$6:D$105,2,0))</f>
        <v>54</v>
      </c>
      <c r="N43" s="58">
        <f t="shared" si="15"/>
        <v>0</v>
      </c>
      <c r="O43" s="61"/>
      <c r="P43" s="61">
        <f t="shared" si="16"/>
        <v>0</v>
      </c>
      <c r="Q43" s="62">
        <f t="shared" si="5"/>
        <v>0</v>
      </c>
      <c r="R43" s="151"/>
      <c r="S43" s="131">
        <f t="shared" si="17"/>
        <v>0</v>
      </c>
      <c r="T43" s="130">
        <f t="shared" si="18"/>
        <v>0</v>
      </c>
    </row>
    <row r="44" spans="1:20" s="7" customFormat="1" x14ac:dyDescent="0.25">
      <c r="A44" s="154">
        <f>IF(J44&lt;&gt;"",1+MAX($A$18:A43),"")</f>
        <v>20</v>
      </c>
      <c r="B44" s="50"/>
      <c r="C44" s="50"/>
      <c r="D44" s="100" t="s">
        <v>26</v>
      </c>
      <c r="E44" s="178" t="s">
        <v>27</v>
      </c>
      <c r="F44" s="171" t="s">
        <v>209</v>
      </c>
      <c r="G44" s="51">
        <v>1</v>
      </c>
      <c r="H44" s="52">
        <f>IF(VLOOKUP(J44,'HOURLY RATES'!B$116:C$124,2,0)=0,$J$3,VLOOKUP(J44,'HOURLY RATES'!B$116:C$124,2,0))</f>
        <v>0</v>
      </c>
      <c r="I44" s="53">
        <f t="shared" si="13"/>
        <v>1</v>
      </c>
      <c r="J44" s="99" t="s">
        <v>198</v>
      </c>
      <c r="K44" s="153">
        <f>2.2%*($S$18)/M44</f>
        <v>6.2398395338888895</v>
      </c>
      <c r="L44" s="60">
        <f t="shared" si="14"/>
        <v>6.2398395338888895</v>
      </c>
      <c r="M44" s="58">
        <f>IF(VLOOKUP(E44,'HOURLY RATES'!C$6:D$105,2,0)=0,$E$3,VLOOKUP(E44,'HOURLY RATES'!C$6:D$105,2,0))</f>
        <v>54</v>
      </c>
      <c r="N44" s="58">
        <f t="shared" si="15"/>
        <v>336.95133483000001</v>
      </c>
      <c r="O44" s="61"/>
      <c r="P44" s="61">
        <f t="shared" si="16"/>
        <v>0</v>
      </c>
      <c r="Q44" s="62">
        <f t="shared" si="5"/>
        <v>336.95133483000001</v>
      </c>
      <c r="R44" s="151"/>
      <c r="S44" s="131">
        <f t="shared" si="17"/>
        <v>410.40672582293996</v>
      </c>
      <c r="T44" s="130">
        <f t="shared" si="18"/>
        <v>410.40672582293996</v>
      </c>
    </row>
    <row r="45" spans="1:20" s="7" customFormat="1" x14ac:dyDescent="0.25">
      <c r="A45" s="152" t="str">
        <f>IF(J45&lt;&gt;"",1+MAX($A$18:A44),"")</f>
        <v/>
      </c>
      <c r="B45" s="50"/>
      <c r="C45" s="50"/>
      <c r="D45" s="100"/>
      <c r="E45" s="178"/>
      <c r="F45" s="171" t="s">
        <v>222</v>
      </c>
      <c r="G45" s="51"/>
      <c r="H45" s="52"/>
      <c r="I45" s="53"/>
      <c r="J45" s="99"/>
      <c r="K45" s="153"/>
      <c r="L45" s="57"/>
      <c r="M45" s="58"/>
      <c r="N45" s="58"/>
      <c r="O45" s="61"/>
      <c r="P45" s="61"/>
      <c r="Q45" s="62"/>
      <c r="R45" s="151"/>
      <c r="S45" s="131"/>
      <c r="T45" s="130"/>
    </row>
    <row r="46" spans="1:20" s="7" customFormat="1" x14ac:dyDescent="0.25">
      <c r="A46" s="152" t="str">
        <f>IF(J46&lt;&gt;"",1+MAX($A$18:A45),"")</f>
        <v/>
      </c>
      <c r="B46" s="50"/>
      <c r="C46" s="50"/>
      <c r="D46" s="100"/>
      <c r="E46" s="178"/>
      <c r="F46" s="172" t="s">
        <v>740</v>
      </c>
      <c r="G46" s="51"/>
      <c r="H46" s="52"/>
      <c r="I46" s="53"/>
      <c r="J46" s="99"/>
      <c r="K46" s="153"/>
      <c r="L46" s="57"/>
      <c r="M46" s="58"/>
      <c r="N46" s="58"/>
      <c r="O46" s="61"/>
      <c r="P46" s="61"/>
      <c r="Q46" s="62"/>
      <c r="R46" s="151"/>
      <c r="S46" s="131"/>
      <c r="T46" s="130"/>
    </row>
    <row r="47" spans="1:20" s="7" customFormat="1" x14ac:dyDescent="0.25">
      <c r="A47" s="152">
        <f>IF(J47&lt;&gt;"",1+MAX($A$18:A46),"")</f>
        <v>21</v>
      </c>
      <c r="B47" s="50"/>
      <c r="C47" s="50"/>
      <c r="D47" s="100" t="s">
        <v>26</v>
      </c>
      <c r="E47" s="178" t="s">
        <v>27</v>
      </c>
      <c r="F47" s="171" t="s">
        <v>210</v>
      </c>
      <c r="G47" s="51">
        <v>1</v>
      </c>
      <c r="H47" s="52">
        <f>IF(VLOOKUP(J47,'HOURLY RATES'!B$116:C$124,2,0)=0,$J$3,VLOOKUP(J47,'HOURLY RATES'!B$116:C$124,2,0))</f>
        <v>0</v>
      </c>
      <c r="I47" s="53">
        <f t="shared" ref="I47:I51" si="19">(G47*(1+H47))</f>
        <v>1</v>
      </c>
      <c r="J47" s="99" t="s">
        <v>198</v>
      </c>
      <c r="K47" s="153"/>
      <c r="L47" s="60">
        <f t="shared" ref="L47:L51" si="20">K47*I47</f>
        <v>0</v>
      </c>
      <c r="M47" s="58">
        <f>IF(VLOOKUP(E47,'HOURLY RATES'!C$6:D$105,2,0)=0,$E$3,VLOOKUP(E47,'HOURLY RATES'!C$6:D$105,2,0))</f>
        <v>54</v>
      </c>
      <c r="N47" s="58">
        <f t="shared" ref="N47:N51" si="21">M47*L47</f>
        <v>0</v>
      </c>
      <c r="O47" s="61"/>
      <c r="P47" s="61">
        <f t="shared" ref="P47:P51" si="22">O47*I47</f>
        <v>0</v>
      </c>
      <c r="Q47" s="62">
        <f t="shared" si="5"/>
        <v>0</v>
      </c>
      <c r="R47" s="151"/>
      <c r="S47" s="131">
        <f>((((N47*(1+$D$7))+(P47*(1+$D$5+$D$6)))*(1+$D$8)))/I47</f>
        <v>0</v>
      </c>
      <c r="T47" s="130">
        <f t="shared" ref="T47:T51" si="23">S47*I47</f>
        <v>0</v>
      </c>
    </row>
    <row r="48" spans="1:20" s="7" customFormat="1" x14ac:dyDescent="0.25">
      <c r="A48" s="152">
        <f>IF(J48&lt;&gt;"",1+MAX($A$18:A47),"")</f>
        <v>22</v>
      </c>
      <c r="B48" s="50"/>
      <c r="C48" s="50"/>
      <c r="D48" s="100" t="s">
        <v>26</v>
      </c>
      <c r="E48" s="178" t="s">
        <v>27</v>
      </c>
      <c r="F48" s="171" t="s">
        <v>211</v>
      </c>
      <c r="G48" s="51">
        <v>1</v>
      </c>
      <c r="H48" s="52">
        <f>IF(VLOOKUP(J48,'HOURLY RATES'!B$116:C$124,2,0)=0,$J$3,VLOOKUP(J48,'HOURLY RATES'!B$116:C$124,2,0))</f>
        <v>0</v>
      </c>
      <c r="I48" s="53">
        <f t="shared" si="19"/>
        <v>1</v>
      </c>
      <c r="J48" s="99" t="s">
        <v>198</v>
      </c>
      <c r="K48" s="153"/>
      <c r="L48" s="60">
        <f t="shared" si="20"/>
        <v>0</v>
      </c>
      <c r="M48" s="58">
        <f>IF(VLOOKUP(E48,'HOURLY RATES'!C$6:D$105,2,0)=0,$E$3,VLOOKUP(E48,'HOURLY RATES'!C$6:D$105,2,0))</f>
        <v>54</v>
      </c>
      <c r="N48" s="58">
        <f t="shared" si="21"/>
        <v>0</v>
      </c>
      <c r="O48" s="61"/>
      <c r="P48" s="61">
        <f t="shared" si="22"/>
        <v>0</v>
      </c>
      <c r="Q48" s="62">
        <f t="shared" si="5"/>
        <v>0</v>
      </c>
      <c r="R48" s="151"/>
      <c r="S48" s="131">
        <f>((((N48*(1+$D$7))+(P48*(1+$D$5+$D$6)))*(1+$D$8)))/I48</f>
        <v>0</v>
      </c>
      <c r="T48" s="130">
        <f t="shared" si="23"/>
        <v>0</v>
      </c>
    </row>
    <row r="49" spans="1:20" s="7" customFormat="1" x14ac:dyDescent="0.25">
      <c r="A49" s="152">
        <f>IF(J49&lt;&gt;"",1+MAX($A$18:A48),"")</f>
        <v>23</v>
      </c>
      <c r="B49" s="50"/>
      <c r="C49" s="50"/>
      <c r="D49" s="100" t="s">
        <v>26</v>
      </c>
      <c r="E49" s="178" t="s">
        <v>27</v>
      </c>
      <c r="F49" s="171" t="s">
        <v>212</v>
      </c>
      <c r="G49" s="51">
        <v>1</v>
      </c>
      <c r="H49" s="52">
        <f>IF(VLOOKUP(J49,'HOURLY RATES'!B$116:C$124,2,0)=0,$J$3,VLOOKUP(J49,'HOURLY RATES'!B$116:C$124,2,0))</f>
        <v>0</v>
      </c>
      <c r="I49" s="53">
        <f t="shared" si="19"/>
        <v>1</v>
      </c>
      <c r="J49" s="99" t="s">
        <v>198</v>
      </c>
      <c r="K49" s="153"/>
      <c r="L49" s="60">
        <f t="shared" si="20"/>
        <v>0</v>
      </c>
      <c r="M49" s="58">
        <f>IF(VLOOKUP(E49,'HOURLY RATES'!C$6:D$105,2,0)=0,$E$3,VLOOKUP(E49,'HOURLY RATES'!C$6:D$105,2,0))</f>
        <v>54</v>
      </c>
      <c r="N49" s="58">
        <f t="shared" si="21"/>
        <v>0</v>
      </c>
      <c r="O49" s="61"/>
      <c r="P49" s="61">
        <f t="shared" si="22"/>
        <v>0</v>
      </c>
      <c r="Q49" s="62">
        <f t="shared" si="5"/>
        <v>0</v>
      </c>
      <c r="R49" s="151"/>
      <c r="S49" s="131">
        <f>((((N49*(1+$D$7))+(P49*(1+$D$5+$D$6)))*(1+$D$8)))/I49</f>
        <v>0</v>
      </c>
      <c r="T49" s="130">
        <f t="shared" si="23"/>
        <v>0</v>
      </c>
    </row>
    <row r="50" spans="1:20" s="7" customFormat="1" x14ac:dyDescent="0.25">
      <c r="A50" s="152">
        <f>IF(J50&lt;&gt;"",1+MAX($A$18:A49),"")</f>
        <v>24</v>
      </c>
      <c r="B50" s="50"/>
      <c r="C50" s="50"/>
      <c r="D50" s="100" t="s">
        <v>26</v>
      </c>
      <c r="E50" s="178" t="s">
        <v>27</v>
      </c>
      <c r="F50" s="171" t="s">
        <v>741</v>
      </c>
      <c r="G50" s="51">
        <v>1</v>
      </c>
      <c r="H50" s="52">
        <f>IF(VLOOKUP(J50,'HOURLY RATES'!B$116:C$124,2,0)=0,$J$3,VLOOKUP(J50,'HOURLY RATES'!B$116:C$124,2,0))</f>
        <v>0</v>
      </c>
      <c r="I50" s="53">
        <f t="shared" si="19"/>
        <v>1</v>
      </c>
      <c r="J50" s="99" t="s">
        <v>198</v>
      </c>
      <c r="K50" s="153"/>
      <c r="L50" s="60">
        <f t="shared" si="20"/>
        <v>0</v>
      </c>
      <c r="M50" s="58">
        <f>IF(VLOOKUP(E50,'HOURLY RATES'!C$6:D$105,2,0)=0,$E$3,VLOOKUP(E50,'HOURLY RATES'!C$6:D$105,2,0))</f>
        <v>54</v>
      </c>
      <c r="N50" s="58">
        <f t="shared" si="21"/>
        <v>0</v>
      </c>
      <c r="O50" s="61"/>
      <c r="P50" s="61">
        <f t="shared" si="22"/>
        <v>0</v>
      </c>
      <c r="Q50" s="62">
        <f t="shared" si="5"/>
        <v>0</v>
      </c>
      <c r="R50" s="151"/>
      <c r="S50" s="131">
        <f>((((N50*(1+$D$7))+(P50*(1+$D$5+$D$6)))*(1+$D$8)))/I50</f>
        <v>0</v>
      </c>
      <c r="T50" s="130">
        <f t="shared" si="23"/>
        <v>0</v>
      </c>
    </row>
    <row r="51" spans="1:20" s="7" customFormat="1" x14ac:dyDescent="0.25">
      <c r="A51" s="152">
        <f>IF(J51&lt;&gt;"",1+MAX($A$18:A50),"")</f>
        <v>25</v>
      </c>
      <c r="B51" s="50"/>
      <c r="C51" s="50"/>
      <c r="D51" s="100" t="s">
        <v>26</v>
      </c>
      <c r="E51" s="178" t="s">
        <v>27</v>
      </c>
      <c r="F51" s="171" t="s">
        <v>213</v>
      </c>
      <c r="G51" s="51">
        <v>1</v>
      </c>
      <c r="H51" s="52">
        <f>IF(VLOOKUP(J51,'HOURLY RATES'!B$116:C$124,2,0)=0,$J$3,VLOOKUP(J51,'HOURLY RATES'!B$116:C$124,2,0))</f>
        <v>0</v>
      </c>
      <c r="I51" s="53">
        <f t="shared" si="19"/>
        <v>1</v>
      </c>
      <c r="J51" s="99" t="s">
        <v>198</v>
      </c>
      <c r="K51" s="153"/>
      <c r="L51" s="60">
        <f t="shared" si="20"/>
        <v>0</v>
      </c>
      <c r="M51" s="58">
        <f>IF(VLOOKUP(E51,'HOURLY RATES'!C$6:D$105,2,0)=0,$E$3,VLOOKUP(E51,'HOURLY RATES'!C$6:D$105,2,0))</f>
        <v>54</v>
      </c>
      <c r="N51" s="58">
        <f t="shared" si="21"/>
        <v>0</v>
      </c>
      <c r="O51" s="61"/>
      <c r="P51" s="61">
        <f t="shared" si="22"/>
        <v>0</v>
      </c>
      <c r="Q51" s="62">
        <f t="shared" si="5"/>
        <v>0</v>
      </c>
      <c r="R51" s="151"/>
      <c r="S51" s="131">
        <f>((((N51*(1+$D$7))+(P51*(1+$D$5+$D$6)))*(1+$D$8)))/I51</f>
        <v>0</v>
      </c>
      <c r="T51" s="130">
        <f t="shared" si="23"/>
        <v>0</v>
      </c>
    </row>
    <row r="52" spans="1:20" s="7" customFormat="1" x14ac:dyDescent="0.25">
      <c r="A52" s="152" t="str">
        <f>IF(J52&lt;&gt;"",1+MAX($A$18:A51),"")</f>
        <v/>
      </c>
      <c r="B52" s="50"/>
      <c r="C52" s="50"/>
      <c r="D52" s="100"/>
      <c r="E52" s="178"/>
      <c r="F52" s="171" t="s">
        <v>222</v>
      </c>
      <c r="G52" s="51"/>
      <c r="H52" s="52"/>
      <c r="I52" s="53"/>
      <c r="J52" s="99"/>
      <c r="K52" s="153"/>
      <c r="L52" s="57"/>
      <c r="M52" s="58"/>
      <c r="N52" s="58"/>
      <c r="O52" s="61"/>
      <c r="P52" s="61"/>
      <c r="Q52" s="62"/>
      <c r="R52" s="151"/>
      <c r="S52" s="131"/>
      <c r="T52" s="130"/>
    </row>
    <row r="53" spans="1:20" s="7" customFormat="1" x14ac:dyDescent="0.25">
      <c r="A53" s="152" t="str">
        <f>IF(J53&lt;&gt;"",1+MAX($A$18:A52),"")</f>
        <v/>
      </c>
      <c r="B53" s="50"/>
      <c r="C53" s="50"/>
      <c r="D53" s="100"/>
      <c r="E53" s="178"/>
      <c r="F53" s="172" t="s">
        <v>742</v>
      </c>
      <c r="G53" s="51"/>
      <c r="H53" s="52"/>
      <c r="I53" s="53"/>
      <c r="J53" s="99"/>
      <c r="K53" s="153"/>
      <c r="L53" s="57"/>
      <c r="M53" s="58"/>
      <c r="N53" s="58"/>
      <c r="O53" s="61"/>
      <c r="P53" s="61"/>
      <c r="Q53" s="62"/>
      <c r="R53" s="151"/>
      <c r="S53" s="131"/>
      <c r="T53" s="130"/>
    </row>
    <row r="54" spans="1:20" s="7" customFormat="1" x14ac:dyDescent="0.25">
      <c r="A54" s="152">
        <f>IF(J54&lt;&gt;"",1+MAX($A$18:A53),"")</f>
        <v>26</v>
      </c>
      <c r="B54" s="50"/>
      <c r="C54" s="63"/>
      <c r="D54" s="100" t="s">
        <v>26</v>
      </c>
      <c r="E54" s="178" t="s">
        <v>27</v>
      </c>
      <c r="F54" s="171" t="s">
        <v>214</v>
      </c>
      <c r="G54" s="51">
        <v>1</v>
      </c>
      <c r="H54" s="52">
        <f>IF(VLOOKUP(J54,'HOURLY RATES'!B$116:C$124,2,0)=0,$J$3,VLOOKUP(J54,'HOURLY RATES'!B$116:C$124,2,0))</f>
        <v>0</v>
      </c>
      <c r="I54" s="53">
        <f t="shared" ref="I54:I57" si="24">(G54*(1+H54))</f>
        <v>1</v>
      </c>
      <c r="J54" s="99" t="s">
        <v>198</v>
      </c>
      <c r="K54" s="153"/>
      <c r="L54" s="60">
        <f t="shared" ref="L54:L57" si="25">K54*I54</f>
        <v>0</v>
      </c>
      <c r="M54" s="58">
        <f>IF(VLOOKUP(E54,'HOURLY RATES'!C$6:D$105,2,0)=0,$E$3,VLOOKUP(E54,'HOURLY RATES'!C$6:D$105,2,0))</f>
        <v>54</v>
      </c>
      <c r="N54" s="58">
        <f t="shared" ref="N54:N57" si="26">M54*L54</f>
        <v>0</v>
      </c>
      <c r="O54" s="61"/>
      <c r="P54" s="61">
        <f t="shared" ref="P54:P57" si="27">O54*I54</f>
        <v>0</v>
      </c>
      <c r="Q54" s="62">
        <f t="shared" si="5"/>
        <v>0</v>
      </c>
      <c r="R54" s="151"/>
      <c r="S54" s="131">
        <f>((((N54*(1+$D$7))+(P54*(1+$D$5+$D$6)))*(1+$D$8)))/I54</f>
        <v>0</v>
      </c>
      <c r="T54" s="130">
        <f t="shared" ref="T54:T57" si="28">S54*I54</f>
        <v>0</v>
      </c>
    </row>
    <row r="55" spans="1:20" s="7" customFormat="1" x14ac:dyDescent="0.25">
      <c r="A55" s="152">
        <f>IF(J55&lt;&gt;"",1+MAX($A$18:A54),"")</f>
        <v>27</v>
      </c>
      <c r="B55" s="50"/>
      <c r="C55" s="63"/>
      <c r="D55" s="100" t="s">
        <v>26</v>
      </c>
      <c r="E55" s="178" t="s">
        <v>27</v>
      </c>
      <c r="F55" s="171" t="s">
        <v>215</v>
      </c>
      <c r="G55" s="51">
        <v>1</v>
      </c>
      <c r="H55" s="52">
        <f>IF(VLOOKUP(J55,'HOURLY RATES'!B$116:C$124,2,0)=0,$J$3,VLOOKUP(J55,'HOURLY RATES'!B$116:C$124,2,0))</f>
        <v>0</v>
      </c>
      <c r="I55" s="53">
        <f t="shared" si="24"/>
        <v>1</v>
      </c>
      <c r="J55" s="99" t="s">
        <v>198</v>
      </c>
      <c r="K55" s="153"/>
      <c r="L55" s="60">
        <f t="shared" si="25"/>
        <v>0</v>
      </c>
      <c r="M55" s="58">
        <f>IF(VLOOKUP(E55,'HOURLY RATES'!C$6:D$105,2,0)=0,$E$3,VLOOKUP(E55,'HOURLY RATES'!C$6:D$105,2,0))</f>
        <v>54</v>
      </c>
      <c r="N55" s="58">
        <f t="shared" si="26"/>
        <v>0</v>
      </c>
      <c r="O55" s="61"/>
      <c r="P55" s="61">
        <f t="shared" si="27"/>
        <v>0</v>
      </c>
      <c r="Q55" s="62">
        <f t="shared" si="5"/>
        <v>0</v>
      </c>
      <c r="R55" s="151"/>
      <c r="S55" s="131">
        <f>((((N55*(1+$D$7))+(P55*(1+$D$5+$D$6)))*(1+$D$8)))/I55</f>
        <v>0</v>
      </c>
      <c r="T55" s="130">
        <f t="shared" si="28"/>
        <v>0</v>
      </c>
    </row>
    <row r="56" spans="1:20" s="7" customFormat="1" x14ac:dyDescent="0.25">
      <c r="A56" s="152">
        <f>IF(J56&lt;&gt;"",1+MAX($A$18:A55),"")</f>
        <v>28</v>
      </c>
      <c r="B56" s="50"/>
      <c r="C56" s="63"/>
      <c r="D56" s="100" t="s">
        <v>26</v>
      </c>
      <c r="E56" s="178" t="s">
        <v>27</v>
      </c>
      <c r="F56" s="171" t="s">
        <v>743</v>
      </c>
      <c r="G56" s="51">
        <v>1</v>
      </c>
      <c r="H56" s="52">
        <f>IF(VLOOKUP(J56,'HOURLY RATES'!B$116:C$124,2,0)=0,$J$3,VLOOKUP(J56,'HOURLY RATES'!B$116:C$124,2,0))</f>
        <v>0</v>
      </c>
      <c r="I56" s="53">
        <f t="shared" si="24"/>
        <v>1</v>
      </c>
      <c r="J56" s="99" t="s">
        <v>198</v>
      </c>
      <c r="K56" s="153"/>
      <c r="L56" s="60">
        <f t="shared" si="25"/>
        <v>0</v>
      </c>
      <c r="M56" s="58">
        <f>IF(VLOOKUP(E56,'HOURLY RATES'!C$6:D$105,2,0)=0,$E$3,VLOOKUP(E56,'HOURLY RATES'!C$6:D$105,2,0))</f>
        <v>54</v>
      </c>
      <c r="N56" s="58">
        <f t="shared" si="26"/>
        <v>0</v>
      </c>
      <c r="O56" s="61"/>
      <c r="P56" s="61">
        <f t="shared" si="27"/>
        <v>0</v>
      </c>
      <c r="Q56" s="62">
        <f t="shared" si="5"/>
        <v>0</v>
      </c>
      <c r="R56" s="151"/>
      <c r="S56" s="131">
        <f>((((N56*(1+$D$7))+(P56*(1+$D$5+$D$6)))*(1+$D$8)))/I56</f>
        <v>0</v>
      </c>
      <c r="T56" s="130">
        <f t="shared" si="28"/>
        <v>0</v>
      </c>
    </row>
    <row r="57" spans="1:20" s="7" customFormat="1" x14ac:dyDescent="0.25">
      <c r="A57" s="152">
        <f>IF(J57&lt;&gt;"",1+MAX($A$18:A56),"")</f>
        <v>29</v>
      </c>
      <c r="B57" s="50"/>
      <c r="C57" s="63"/>
      <c r="D57" s="100" t="s">
        <v>26</v>
      </c>
      <c r="E57" s="178" t="s">
        <v>27</v>
      </c>
      <c r="F57" s="171" t="s">
        <v>216</v>
      </c>
      <c r="G57" s="51">
        <v>1</v>
      </c>
      <c r="H57" s="52">
        <f>IF(VLOOKUP(J57,'HOURLY RATES'!B$116:C$124,2,0)=0,$J$3,VLOOKUP(J57,'HOURLY RATES'!B$116:C$124,2,0))</f>
        <v>0</v>
      </c>
      <c r="I57" s="53">
        <f t="shared" si="24"/>
        <v>1</v>
      </c>
      <c r="J57" s="99" t="s">
        <v>198</v>
      </c>
      <c r="K57" s="153"/>
      <c r="L57" s="60">
        <f t="shared" si="25"/>
        <v>0</v>
      </c>
      <c r="M57" s="58">
        <f>IF(VLOOKUP(E57,'HOURLY RATES'!C$6:D$105,2,0)=0,$E$3,VLOOKUP(E57,'HOURLY RATES'!C$6:D$105,2,0))</f>
        <v>54</v>
      </c>
      <c r="N57" s="58">
        <f t="shared" si="26"/>
        <v>0</v>
      </c>
      <c r="O57" s="61"/>
      <c r="P57" s="61">
        <f t="shared" si="27"/>
        <v>0</v>
      </c>
      <c r="Q57" s="62">
        <f t="shared" si="5"/>
        <v>0</v>
      </c>
      <c r="R57" s="151"/>
      <c r="S57" s="131">
        <f>((((N57*(1+$D$7))+(P57*(1+$D$5+$D$6)))*(1+$D$8)))/I57</f>
        <v>0</v>
      </c>
      <c r="T57" s="130">
        <f t="shared" si="28"/>
        <v>0</v>
      </c>
    </row>
    <row r="58" spans="1:20" s="7" customFormat="1" x14ac:dyDescent="0.25">
      <c r="A58" s="152" t="str">
        <f>IF(J58&lt;&gt;"",1+MAX($A$18:A57),"")</f>
        <v/>
      </c>
      <c r="B58" s="50"/>
      <c r="C58" s="63"/>
      <c r="D58" s="100"/>
      <c r="E58" s="178"/>
      <c r="F58" s="171" t="s">
        <v>222</v>
      </c>
      <c r="G58" s="51"/>
      <c r="H58" s="52"/>
      <c r="I58" s="53"/>
      <c r="J58" s="99"/>
      <c r="K58" s="153"/>
      <c r="L58" s="57"/>
      <c r="M58" s="58"/>
      <c r="N58" s="58"/>
      <c r="O58" s="61"/>
      <c r="P58" s="61"/>
      <c r="Q58" s="62"/>
      <c r="R58" s="151"/>
      <c r="S58" s="131"/>
      <c r="T58" s="130"/>
    </row>
    <row r="59" spans="1:20" s="7" customFormat="1" x14ac:dyDescent="0.25">
      <c r="A59" s="152" t="str">
        <f>IF(J59&lt;&gt;"",1+MAX($A$18:A58),"")</f>
        <v/>
      </c>
      <c r="B59" s="50"/>
      <c r="C59" s="63"/>
      <c r="D59" s="100"/>
      <c r="E59" s="178"/>
      <c r="F59" s="172" t="s">
        <v>217</v>
      </c>
      <c r="G59" s="51"/>
      <c r="H59" s="52"/>
      <c r="I59" s="53"/>
      <c r="J59" s="99"/>
      <c r="K59" s="153"/>
      <c r="L59" s="57"/>
      <c r="M59" s="58"/>
      <c r="N59" s="58"/>
      <c r="O59" s="61"/>
      <c r="P59" s="61"/>
      <c r="Q59" s="62"/>
      <c r="R59" s="151"/>
      <c r="S59" s="131"/>
      <c r="T59" s="130"/>
    </row>
    <row r="60" spans="1:20" s="7" customFormat="1" x14ac:dyDescent="0.25">
      <c r="A60" s="152">
        <f>IF(J60&lt;&gt;"",1+MAX($A$18:A59),"")</f>
        <v>30</v>
      </c>
      <c r="B60" s="50"/>
      <c r="C60" s="63"/>
      <c r="D60" s="100" t="s">
        <v>26</v>
      </c>
      <c r="E60" s="178" t="s">
        <v>27</v>
      </c>
      <c r="F60" s="171" t="s">
        <v>218</v>
      </c>
      <c r="G60" s="51">
        <v>1</v>
      </c>
      <c r="H60" s="52">
        <f>IF(VLOOKUP(J60,'HOURLY RATES'!B$116:C$124,2,0)=0,$J$3,VLOOKUP(J60,'HOURLY RATES'!B$116:C$124,2,0))</f>
        <v>0</v>
      </c>
      <c r="I60" s="53">
        <f t="shared" ref="I60:I62" si="29">(G60*(1+H60))</f>
        <v>1</v>
      </c>
      <c r="J60" s="99" t="s">
        <v>198</v>
      </c>
      <c r="K60" s="153"/>
      <c r="L60" s="60">
        <f t="shared" ref="L60:L62" si="30">K60*I60</f>
        <v>0</v>
      </c>
      <c r="M60" s="58">
        <f>IF(VLOOKUP(E60,'HOURLY RATES'!C$6:D$105,2,0)=0,$E$3,VLOOKUP(E60,'HOURLY RATES'!C$6:D$105,2,0))</f>
        <v>54</v>
      </c>
      <c r="N60" s="58">
        <f t="shared" ref="N60:N62" si="31">M60*L60</f>
        <v>0</v>
      </c>
      <c r="O60" s="61"/>
      <c r="P60" s="61">
        <f t="shared" ref="P60:P62" si="32">O60*I60</f>
        <v>0</v>
      </c>
      <c r="Q60" s="62">
        <f t="shared" si="5"/>
        <v>0</v>
      </c>
      <c r="R60" s="151"/>
      <c r="S60" s="131">
        <f>((((N60*(1+$D$7))+(P60*(1+$D$5+$D$6)))*(1+$D$8)))/I60</f>
        <v>0</v>
      </c>
      <c r="T60" s="130">
        <f t="shared" ref="T60:T62" si="33">S60*I60</f>
        <v>0</v>
      </c>
    </row>
    <row r="61" spans="1:20" s="7" customFormat="1" x14ac:dyDescent="0.25">
      <c r="A61" s="152">
        <f>IF(J61&lt;&gt;"",1+MAX($A$18:A60),"")</f>
        <v>31</v>
      </c>
      <c r="B61" s="50"/>
      <c r="C61" s="63"/>
      <c r="D61" s="100" t="s">
        <v>26</v>
      </c>
      <c r="E61" s="178" t="s">
        <v>27</v>
      </c>
      <c r="F61" s="171" t="s">
        <v>219</v>
      </c>
      <c r="G61" s="51">
        <v>1</v>
      </c>
      <c r="H61" s="52">
        <f>IF(VLOOKUP(J61,'HOURLY RATES'!B$116:C$124,2,0)=0,$J$3,VLOOKUP(J61,'HOURLY RATES'!B$116:C$124,2,0))</f>
        <v>0</v>
      </c>
      <c r="I61" s="53">
        <f t="shared" si="29"/>
        <v>1</v>
      </c>
      <c r="J61" s="99" t="s">
        <v>198</v>
      </c>
      <c r="K61" s="153"/>
      <c r="L61" s="60">
        <f t="shared" si="30"/>
        <v>0</v>
      </c>
      <c r="M61" s="58">
        <f>IF(VLOOKUP(E61,'HOURLY RATES'!C$6:D$105,2,0)=0,$E$3,VLOOKUP(E61,'HOURLY RATES'!C$6:D$105,2,0))</f>
        <v>54</v>
      </c>
      <c r="N61" s="58">
        <f t="shared" si="31"/>
        <v>0</v>
      </c>
      <c r="O61" s="61"/>
      <c r="P61" s="61">
        <f t="shared" si="32"/>
        <v>0</v>
      </c>
      <c r="Q61" s="62">
        <f t="shared" si="5"/>
        <v>0</v>
      </c>
      <c r="R61" s="151"/>
      <c r="S61" s="131">
        <f>((((N61*(1+$D$7))+(P61*(1+$D$5+$D$6)))*(1+$D$8)))/I61</f>
        <v>0</v>
      </c>
      <c r="T61" s="130">
        <f t="shared" si="33"/>
        <v>0</v>
      </c>
    </row>
    <row r="62" spans="1:20" s="7" customFormat="1" x14ac:dyDescent="0.25">
      <c r="A62" s="152">
        <f>IF(J62&lt;&gt;"",1+MAX($A$18:A61),"")</f>
        <v>32</v>
      </c>
      <c r="B62" s="50"/>
      <c r="C62" s="63"/>
      <c r="D62" s="100" t="s">
        <v>26</v>
      </c>
      <c r="E62" s="178" t="s">
        <v>27</v>
      </c>
      <c r="F62" s="171" t="s">
        <v>220</v>
      </c>
      <c r="G62" s="51">
        <v>1</v>
      </c>
      <c r="H62" s="52">
        <f>IF(VLOOKUP(J62,'HOURLY RATES'!B$116:C$124,2,0)=0,$J$3,VLOOKUP(J62,'HOURLY RATES'!B$116:C$124,2,0))</f>
        <v>0</v>
      </c>
      <c r="I62" s="53">
        <f t="shared" si="29"/>
        <v>1</v>
      </c>
      <c r="J62" s="99" t="s">
        <v>198</v>
      </c>
      <c r="K62" s="153"/>
      <c r="L62" s="60">
        <f t="shared" si="30"/>
        <v>0</v>
      </c>
      <c r="M62" s="58">
        <f>IF(VLOOKUP(E62,'HOURLY RATES'!C$6:D$105,2,0)=0,$E$3,VLOOKUP(E62,'HOURLY RATES'!C$6:D$105,2,0))</f>
        <v>54</v>
      </c>
      <c r="N62" s="58">
        <f t="shared" si="31"/>
        <v>0</v>
      </c>
      <c r="O62" s="61"/>
      <c r="P62" s="61">
        <f t="shared" si="32"/>
        <v>0</v>
      </c>
      <c r="Q62" s="62">
        <f t="shared" si="5"/>
        <v>0</v>
      </c>
      <c r="R62" s="151"/>
      <c r="S62" s="131">
        <f>((((N62*(1+$D$7))+(P62*(1+$D$5+$D$6)))*(1+$D$8)))/I62</f>
        <v>0</v>
      </c>
      <c r="T62" s="130">
        <f t="shared" si="33"/>
        <v>0</v>
      </c>
    </row>
    <row r="63" spans="1:20" s="7" customFormat="1" x14ac:dyDescent="0.25">
      <c r="A63" s="152" t="str">
        <f>IF(J63&lt;&gt;"",1+MAX($A$18:A62),"")</f>
        <v/>
      </c>
      <c r="B63" s="50"/>
      <c r="C63" s="63"/>
      <c r="D63" s="100"/>
      <c r="E63" s="178"/>
      <c r="F63" s="171" t="s">
        <v>222</v>
      </c>
      <c r="G63" s="51"/>
      <c r="H63" s="52"/>
      <c r="I63" s="53"/>
      <c r="J63" s="99"/>
      <c r="K63" s="153"/>
      <c r="L63" s="57"/>
      <c r="M63" s="58"/>
      <c r="N63" s="58"/>
      <c r="O63" s="61"/>
      <c r="P63" s="61"/>
      <c r="Q63" s="62"/>
      <c r="R63" s="151"/>
      <c r="S63" s="131"/>
      <c r="T63" s="130"/>
    </row>
    <row r="64" spans="1:20" s="7" customFormat="1" x14ac:dyDescent="0.25">
      <c r="A64" s="152" t="str">
        <f>IF(J64&lt;&gt;"",1+MAX($A$18:A63),"")</f>
        <v/>
      </c>
      <c r="B64" s="50"/>
      <c r="C64" s="63"/>
      <c r="D64" s="100"/>
      <c r="E64" s="178"/>
      <c r="F64" s="172" t="s">
        <v>221</v>
      </c>
      <c r="G64" s="51"/>
      <c r="H64" s="52"/>
      <c r="I64" s="53"/>
      <c r="J64" s="99"/>
      <c r="K64" s="153"/>
      <c r="L64" s="60"/>
      <c r="M64" s="58"/>
      <c r="N64" s="58"/>
      <c r="O64" s="61"/>
      <c r="P64" s="61"/>
      <c r="Q64" s="62"/>
      <c r="R64" s="151"/>
      <c r="S64" s="131"/>
      <c r="T64" s="130"/>
    </row>
    <row r="65" spans="1:20" s="7" customFormat="1" x14ac:dyDescent="0.25">
      <c r="A65" s="152">
        <f>IF(J65&lt;&gt;"",1+MAX($A$18:A64),"")</f>
        <v>33</v>
      </c>
      <c r="B65" s="50"/>
      <c r="C65" s="63"/>
      <c r="D65" s="100" t="s">
        <v>26</v>
      </c>
      <c r="E65" s="178" t="s">
        <v>27</v>
      </c>
      <c r="F65" s="171" t="s">
        <v>221</v>
      </c>
      <c r="G65" s="51">
        <v>1</v>
      </c>
      <c r="H65" s="52">
        <f>IF(VLOOKUP(J65,'HOURLY RATES'!B$116:C$124,2,0)=0,$J$3,VLOOKUP(J65,'HOURLY RATES'!B$116:C$124,2,0))</f>
        <v>0</v>
      </c>
      <c r="I65" s="53">
        <f>(G65*(1+H65))</f>
        <v>1</v>
      </c>
      <c r="J65" s="99" t="s">
        <v>198</v>
      </c>
      <c r="K65" s="153">
        <f>2.6%*($S$18)/M65</f>
        <v>7.374355812777778</v>
      </c>
      <c r="L65" s="60">
        <f t="shared" ref="L65" si="34">K65*I65</f>
        <v>7.374355812777778</v>
      </c>
      <c r="M65" s="58">
        <f>IF(VLOOKUP(E65,'HOURLY RATES'!C$6:D$105,2,0)=0,$E$3,VLOOKUP(E65,'HOURLY RATES'!C$6:D$105,2,0))</f>
        <v>54</v>
      </c>
      <c r="N65" s="58">
        <f t="shared" ref="N65" si="35">M65*L65</f>
        <v>398.21521389000003</v>
      </c>
      <c r="O65" s="61"/>
      <c r="P65" s="61">
        <f t="shared" ref="P65" si="36">O65*I65</f>
        <v>0</v>
      </c>
      <c r="Q65" s="62">
        <f t="shared" ref="Q65" si="37">P65+N65</f>
        <v>398.21521389000003</v>
      </c>
      <c r="R65" s="151"/>
      <c r="S65" s="131">
        <f>((((N65*(1+$D$7))+(P65*(1+$D$5+$D$6)))*(1+$D$8)))/I65</f>
        <v>485.02613051801995</v>
      </c>
      <c r="T65" s="130">
        <f>S65*I65</f>
        <v>485.02613051801995</v>
      </c>
    </row>
    <row r="66" spans="1:20" s="7" customFormat="1" x14ac:dyDescent="0.25">
      <c r="A66" s="215" t="str">
        <f>IF(J66&lt;&gt;"",1+MAX($A$18:A65),"")</f>
        <v/>
      </c>
      <c r="B66" s="68"/>
      <c r="C66" s="216"/>
      <c r="D66" s="101"/>
      <c r="E66" s="217"/>
      <c r="F66" s="218" t="s">
        <v>222</v>
      </c>
      <c r="G66" s="69"/>
      <c r="H66" s="70"/>
      <c r="I66" s="71"/>
      <c r="J66" s="102"/>
      <c r="K66" s="76"/>
      <c r="L66" s="72"/>
      <c r="M66" s="73"/>
      <c r="N66" s="73"/>
      <c r="O66" s="74"/>
      <c r="P66" s="74"/>
      <c r="Q66" s="75"/>
      <c r="R66" s="151"/>
      <c r="S66" s="131"/>
      <c r="T66" s="130"/>
    </row>
    <row r="67" spans="1:20" s="7" customFormat="1" x14ac:dyDescent="0.25">
      <c r="A67" s="219" t="str">
        <f>IF(J67&lt;&gt;"",1+MAX($A$18:A66),"")</f>
        <v/>
      </c>
      <c r="B67" s="219"/>
      <c r="C67" s="219"/>
      <c r="D67" s="219" t="s">
        <v>35</v>
      </c>
      <c r="E67" s="220"/>
      <c r="F67" s="221" t="s">
        <v>36</v>
      </c>
      <c r="G67" s="222"/>
      <c r="H67" s="221"/>
      <c r="I67" s="223"/>
      <c r="J67" s="223"/>
      <c r="K67" s="221"/>
      <c r="L67" s="221"/>
      <c r="M67" s="221"/>
      <c r="N67" s="221"/>
      <c r="O67" s="221"/>
      <c r="P67" s="221"/>
      <c r="Q67" s="221"/>
      <c r="R67" s="224">
        <f>SUM(Q68:Q81)</f>
        <v>15315.969765</v>
      </c>
      <c r="S67" s="131"/>
      <c r="T67" s="130"/>
    </row>
    <row r="68" spans="1:20" s="7" customFormat="1" x14ac:dyDescent="0.25">
      <c r="A68" s="152" t="str">
        <f>IF(J68&lt;&gt;"",1+MAX($A$18:A67),"")</f>
        <v/>
      </c>
      <c r="B68" s="50"/>
      <c r="C68" s="63"/>
      <c r="D68" s="100"/>
      <c r="E68" s="178"/>
      <c r="F68" s="171" t="s">
        <v>222</v>
      </c>
      <c r="G68" s="51"/>
      <c r="H68" s="52"/>
      <c r="I68" s="53"/>
      <c r="J68" s="99"/>
      <c r="K68" s="153"/>
      <c r="L68" s="60"/>
      <c r="M68" s="58"/>
      <c r="N68" s="58"/>
      <c r="O68" s="61"/>
      <c r="P68" s="61"/>
      <c r="Q68" s="62"/>
      <c r="R68" s="155"/>
      <c r="S68" s="131"/>
      <c r="T68" s="130"/>
    </row>
    <row r="69" spans="1:20" s="7" customFormat="1" ht="18" x14ac:dyDescent="0.25">
      <c r="A69" s="152" t="str">
        <f>IF(J69&lt;&gt;"",1+MAX($A$18:A68),"")</f>
        <v/>
      </c>
      <c r="B69" s="109"/>
      <c r="C69" s="110"/>
      <c r="D69" s="100"/>
      <c r="E69" s="179"/>
      <c r="F69" s="173" t="s">
        <v>135</v>
      </c>
      <c r="G69" s="112"/>
      <c r="H69" s="113"/>
      <c r="I69" s="114"/>
      <c r="J69" s="99"/>
      <c r="K69" s="153"/>
      <c r="L69" s="156"/>
      <c r="M69" s="157"/>
      <c r="N69" s="157"/>
      <c r="O69" s="158"/>
      <c r="P69" s="158"/>
      <c r="Q69" s="159"/>
      <c r="R69" s="155"/>
      <c r="S69" s="131"/>
      <c r="T69" s="130"/>
    </row>
    <row r="70" spans="1:20" s="7" customFormat="1" x14ac:dyDescent="0.25">
      <c r="A70" s="152" t="str">
        <f>IF(J70&lt;&gt;"",1+MAX($A$18:A69),"")</f>
        <v/>
      </c>
      <c r="B70" s="109"/>
      <c r="C70" s="110"/>
      <c r="D70" s="100"/>
      <c r="E70" s="179"/>
      <c r="F70" s="172" t="s">
        <v>135</v>
      </c>
      <c r="G70" s="112"/>
      <c r="H70" s="113"/>
      <c r="I70" s="114"/>
      <c r="J70" s="99"/>
      <c r="K70" s="153"/>
      <c r="L70" s="156"/>
      <c r="M70" s="157"/>
      <c r="N70" s="157"/>
      <c r="O70" s="158"/>
      <c r="P70" s="158"/>
      <c r="Q70" s="159"/>
      <c r="R70" s="155"/>
      <c r="S70" s="131"/>
      <c r="T70" s="130"/>
    </row>
    <row r="71" spans="1:20" s="7" customFormat="1" x14ac:dyDescent="0.25">
      <c r="A71" s="152">
        <f>IF(J71&lt;&gt;"",1+MAX($A$18:A70),"")</f>
        <v>34</v>
      </c>
      <c r="B71" s="109"/>
      <c r="C71" s="109"/>
      <c r="D71" s="100" t="s">
        <v>35</v>
      </c>
      <c r="E71" s="179" t="s">
        <v>86</v>
      </c>
      <c r="F71" s="176" t="s">
        <v>744</v>
      </c>
      <c r="G71" s="112">
        <v>3893</v>
      </c>
      <c r="H71" s="113">
        <v>0.05</v>
      </c>
      <c r="I71" s="114">
        <f t="shared" ref="I71:I76" si="38">(G71*(1+H71))</f>
        <v>4087.65</v>
      </c>
      <c r="J71" s="99" t="s">
        <v>226</v>
      </c>
      <c r="K71" s="153">
        <v>2.5000000000000001E-2</v>
      </c>
      <c r="L71" s="156">
        <f t="shared" ref="L71:L76" si="39">K71*I71</f>
        <v>102.19125000000001</v>
      </c>
      <c r="M71" s="58">
        <f>IF(VLOOKUP(E71,'HOURLY RATES'!C$6:D$105,2,0)=0,$E$3,VLOOKUP(E71,'HOURLY RATES'!C$6:D$105,2,0))</f>
        <v>54</v>
      </c>
      <c r="N71" s="157">
        <f t="shared" ref="N71:N76" si="40">M71*L71</f>
        <v>5518.3275000000003</v>
      </c>
      <c r="O71" s="158">
        <v>1.1000000000000001</v>
      </c>
      <c r="P71" s="158">
        <f t="shared" ref="P71:P76" si="41">O71*I71</f>
        <v>4496.4150000000009</v>
      </c>
      <c r="Q71" s="159">
        <f t="shared" ref="Q71:Q76" si="42">P71+N71</f>
        <v>10014.7425</v>
      </c>
      <c r="R71" s="155"/>
      <c r="S71" s="131">
        <f>((((N71*(1+$D$7))+(P71*(1+$D$5+$D$6)))*(1+$D$8)))/I71</f>
        <v>3.0619423800000001</v>
      </c>
      <c r="T71" s="130">
        <f t="shared" ref="T71:T76" si="43">S71*I71</f>
        <v>12516.148769607</v>
      </c>
    </row>
    <row r="72" spans="1:20" s="7" customFormat="1" x14ac:dyDescent="0.25">
      <c r="A72" s="152">
        <f>IF(J72&lt;&gt;"",1+MAX($A$18:A71),"")</f>
        <v>35</v>
      </c>
      <c r="B72" s="109"/>
      <c r="C72" s="109"/>
      <c r="D72" s="100" t="s">
        <v>35</v>
      </c>
      <c r="E72" s="179" t="s">
        <v>86</v>
      </c>
      <c r="F72" s="176" t="s">
        <v>795</v>
      </c>
      <c r="G72" s="112">
        <v>187</v>
      </c>
      <c r="H72" s="113">
        <v>0.05</v>
      </c>
      <c r="I72" s="114">
        <f t="shared" ref="I72" si="44">(G72*(1+H72))</f>
        <v>196.35</v>
      </c>
      <c r="J72" s="99" t="s">
        <v>226</v>
      </c>
      <c r="K72" s="153">
        <v>2.5000000000000001E-2</v>
      </c>
      <c r="L72" s="156">
        <f t="shared" ref="L72" si="45">K72*I72</f>
        <v>4.9087500000000004</v>
      </c>
      <c r="M72" s="58">
        <f>IF(VLOOKUP(E72,'HOURLY RATES'!C$6:D$105,2,0)=0,$E$3,VLOOKUP(E72,'HOURLY RATES'!C$6:D$105,2,0))</f>
        <v>54</v>
      </c>
      <c r="N72" s="157">
        <f t="shared" ref="N72" si="46">M72*L72</f>
        <v>265.07250000000005</v>
      </c>
      <c r="O72" s="158">
        <v>1.1000000000000001</v>
      </c>
      <c r="P72" s="158">
        <f t="shared" ref="P72" si="47">O72*I72</f>
        <v>215.98500000000001</v>
      </c>
      <c r="Q72" s="159">
        <f t="shared" ref="Q72" si="48">P72+N72</f>
        <v>481.05750000000006</v>
      </c>
      <c r="R72" s="155"/>
      <c r="S72" s="131">
        <f t="shared" ref="S72" si="49">((((N72*(1+$D$7))+(P72*(1+$D$5+$D$6)))*(1+$D$8)))/I72</f>
        <v>3.0619423800000001</v>
      </c>
      <c r="T72" s="130">
        <f t="shared" ref="T72" si="50">S72*I72</f>
        <v>601.21238631300002</v>
      </c>
    </row>
    <row r="73" spans="1:20" s="7" customFormat="1" x14ac:dyDescent="0.25">
      <c r="A73" s="152">
        <f>IF(J73&lt;&gt;"",1+MAX($A$18:A72),"")</f>
        <v>36</v>
      </c>
      <c r="B73" s="109"/>
      <c r="C73" s="109"/>
      <c r="D73" s="100" t="s">
        <v>35</v>
      </c>
      <c r="E73" s="179" t="s">
        <v>86</v>
      </c>
      <c r="F73" s="176" t="s">
        <v>794</v>
      </c>
      <c r="G73" s="112">
        <v>1483</v>
      </c>
      <c r="H73" s="113">
        <v>0.05</v>
      </c>
      <c r="I73" s="114">
        <f t="shared" si="38"/>
        <v>1557.15</v>
      </c>
      <c r="J73" s="99" t="s">
        <v>226</v>
      </c>
      <c r="K73" s="153">
        <v>2.5000000000000001E-2</v>
      </c>
      <c r="L73" s="156">
        <f t="shared" si="39"/>
        <v>38.928750000000008</v>
      </c>
      <c r="M73" s="58">
        <f>IF(VLOOKUP(E73,'HOURLY RATES'!C$6:D$105,2,0)=0,$E$3,VLOOKUP(E73,'HOURLY RATES'!C$6:D$105,2,0))</f>
        <v>54</v>
      </c>
      <c r="N73" s="157">
        <f t="shared" si="40"/>
        <v>2102.1525000000006</v>
      </c>
      <c r="O73" s="158">
        <v>1.1000000000000001</v>
      </c>
      <c r="P73" s="158">
        <f t="shared" si="41"/>
        <v>1712.8650000000002</v>
      </c>
      <c r="Q73" s="159">
        <f t="shared" si="42"/>
        <v>3815.0175000000008</v>
      </c>
      <c r="R73" s="155"/>
      <c r="S73" s="131">
        <f t="shared" ref="S73:S76" si="51">((((N73*(1+$D$7))+(P73*(1+$D$5+$D$6)))*(1+$D$8)))/I73</f>
        <v>3.0619423800000001</v>
      </c>
      <c r="T73" s="130">
        <f t="shared" si="43"/>
        <v>4767.9035770170003</v>
      </c>
    </row>
    <row r="74" spans="1:20" s="7" customFormat="1" x14ac:dyDescent="0.25">
      <c r="A74" s="152">
        <f>IF(J74&lt;&gt;"",1+MAX($A$18:A73),"")</f>
        <v>37</v>
      </c>
      <c r="B74" s="109"/>
      <c r="C74" s="109"/>
      <c r="D74" s="100" t="s">
        <v>35</v>
      </c>
      <c r="E74" s="179" t="s">
        <v>86</v>
      </c>
      <c r="F74" s="176" t="s">
        <v>796</v>
      </c>
      <c r="G74" s="112">
        <v>51.99</v>
      </c>
      <c r="H74" s="113">
        <v>0.05</v>
      </c>
      <c r="I74" s="114">
        <f t="shared" si="38"/>
        <v>54.589500000000001</v>
      </c>
      <c r="J74" s="99" t="s">
        <v>226</v>
      </c>
      <c r="K74" s="153">
        <v>3.5000000000000003E-2</v>
      </c>
      <c r="L74" s="156">
        <f t="shared" si="39"/>
        <v>1.9106325000000002</v>
      </c>
      <c r="M74" s="58">
        <f>IF(VLOOKUP(E74,'HOURLY RATES'!C$6:D$105,2,0)=0,$E$3,VLOOKUP(E74,'HOURLY RATES'!C$6:D$105,2,0))</f>
        <v>54</v>
      </c>
      <c r="N74" s="157">
        <f t="shared" si="40"/>
        <v>103.17415500000001</v>
      </c>
      <c r="O74" s="158">
        <v>1.5</v>
      </c>
      <c r="P74" s="158">
        <f t="shared" si="41"/>
        <v>81.884250000000009</v>
      </c>
      <c r="Q74" s="159">
        <f t="shared" si="42"/>
        <v>185.05840500000002</v>
      </c>
      <c r="R74" s="155"/>
      <c r="S74" s="131">
        <f t="shared" si="51"/>
        <v>4.2351687</v>
      </c>
      <c r="T74" s="130">
        <f t="shared" si="43"/>
        <v>231.19574174864999</v>
      </c>
    </row>
    <row r="75" spans="1:20" s="7" customFormat="1" x14ac:dyDescent="0.25">
      <c r="A75" s="152">
        <f>IF(J75&lt;&gt;"",1+MAX($A$18:A74),"")</f>
        <v>38</v>
      </c>
      <c r="B75" s="109"/>
      <c r="C75" s="109"/>
      <c r="D75" s="100" t="s">
        <v>35</v>
      </c>
      <c r="E75" s="179" t="s">
        <v>86</v>
      </c>
      <c r="F75" s="176" t="s">
        <v>797</v>
      </c>
      <c r="G75" s="112">
        <v>25.88</v>
      </c>
      <c r="H75" s="113">
        <v>0.05</v>
      </c>
      <c r="I75" s="114">
        <f t="shared" ref="I75" si="52">(G75*(1+H75))</f>
        <v>27.173999999999999</v>
      </c>
      <c r="J75" s="99" t="s">
        <v>226</v>
      </c>
      <c r="K75" s="153">
        <v>3.5000000000000003E-2</v>
      </c>
      <c r="L75" s="156">
        <f t="shared" ref="L75" si="53">K75*I75</f>
        <v>0.9510900000000001</v>
      </c>
      <c r="M75" s="58">
        <f>IF(VLOOKUP(E75,'HOURLY RATES'!C$6:D$105,2,0)=0,$E$3,VLOOKUP(E75,'HOURLY RATES'!C$6:D$105,2,0))</f>
        <v>54</v>
      </c>
      <c r="N75" s="157">
        <f t="shared" ref="N75" si="54">M75*L75</f>
        <v>51.358860000000007</v>
      </c>
      <c r="O75" s="158">
        <v>2.5</v>
      </c>
      <c r="P75" s="158">
        <f t="shared" ref="P75" si="55">O75*I75</f>
        <v>67.935000000000002</v>
      </c>
      <c r="Q75" s="159">
        <f t="shared" ref="Q75" si="56">P75+N75</f>
        <v>119.29386000000001</v>
      </c>
      <c r="R75" s="155"/>
      <c r="S75" s="131">
        <f t="shared" ref="S75" si="57">((((N75*(1+$D$7))+(P75*(1+$D$5+$D$6)))*(1+$D$8)))/I75</f>
        <v>5.5239345000000002</v>
      </c>
      <c r="T75" s="130">
        <f t="shared" ref="T75" si="58">S75*I75</f>
        <v>150.10739610300001</v>
      </c>
    </row>
    <row r="76" spans="1:20" s="7" customFormat="1" x14ac:dyDescent="0.25">
      <c r="A76" s="152">
        <f>IF(J76&lt;&gt;"",1+MAX($A$18:A75),"")</f>
        <v>39</v>
      </c>
      <c r="B76" s="109"/>
      <c r="C76" s="109"/>
      <c r="D76" s="100" t="s">
        <v>35</v>
      </c>
      <c r="E76" s="179" t="s">
        <v>86</v>
      </c>
      <c r="F76" s="176" t="s">
        <v>745</v>
      </c>
      <c r="G76" s="112">
        <v>14</v>
      </c>
      <c r="H76" s="113">
        <v>0</v>
      </c>
      <c r="I76" s="114">
        <f t="shared" si="38"/>
        <v>14</v>
      </c>
      <c r="J76" s="99" t="s">
        <v>225</v>
      </c>
      <c r="K76" s="153">
        <v>0.3</v>
      </c>
      <c r="L76" s="156">
        <f t="shared" si="39"/>
        <v>4.2</v>
      </c>
      <c r="M76" s="58">
        <f>IF(VLOOKUP(E76,'HOURLY RATES'!C$6:D$105,2,0)=0,$E$3,VLOOKUP(E76,'HOURLY RATES'!C$6:D$105,2,0))</f>
        <v>54</v>
      </c>
      <c r="N76" s="157">
        <f t="shared" si="40"/>
        <v>226.8</v>
      </c>
      <c r="O76" s="158">
        <v>15</v>
      </c>
      <c r="P76" s="158">
        <f t="shared" si="41"/>
        <v>210</v>
      </c>
      <c r="Q76" s="159">
        <f t="shared" si="42"/>
        <v>436.8</v>
      </c>
      <c r="R76" s="155"/>
      <c r="S76" s="131">
        <f t="shared" si="51"/>
        <v>39.063086999999996</v>
      </c>
      <c r="T76" s="130">
        <f t="shared" si="43"/>
        <v>546.88321799999994</v>
      </c>
    </row>
    <row r="77" spans="1:20" s="7" customFormat="1" x14ac:dyDescent="0.25">
      <c r="A77" s="152" t="str">
        <f>IF(J77&lt;&gt;"",1+MAX($A$18:A76),"")</f>
        <v/>
      </c>
      <c r="B77" s="109"/>
      <c r="C77" s="110"/>
      <c r="D77" s="100"/>
      <c r="E77" s="179"/>
      <c r="F77" s="111" t="s">
        <v>222</v>
      </c>
      <c r="G77" s="112"/>
      <c r="H77" s="113"/>
      <c r="I77" s="114"/>
      <c r="J77" s="99"/>
      <c r="K77" s="153"/>
      <c r="L77" s="156"/>
      <c r="M77" s="157"/>
      <c r="N77" s="157"/>
      <c r="O77" s="158"/>
      <c r="P77" s="158"/>
      <c r="Q77" s="159"/>
      <c r="R77" s="155"/>
      <c r="S77" s="131"/>
      <c r="T77" s="130"/>
    </row>
    <row r="78" spans="1:20" s="7" customFormat="1" x14ac:dyDescent="0.25">
      <c r="A78" s="152" t="str">
        <f>IF(J78&lt;&gt;"",1+MAX($A$18:A77),"")</f>
        <v/>
      </c>
      <c r="B78" s="109"/>
      <c r="C78" s="110"/>
      <c r="D78" s="100"/>
      <c r="E78" s="179"/>
      <c r="F78" s="172" t="s">
        <v>726</v>
      </c>
      <c r="G78" s="112"/>
      <c r="H78" s="113"/>
      <c r="I78" s="114"/>
      <c r="J78" s="99"/>
      <c r="K78" s="153"/>
      <c r="L78" s="156"/>
      <c r="M78" s="157"/>
      <c r="N78" s="157"/>
      <c r="O78" s="158"/>
      <c r="P78" s="158"/>
      <c r="Q78" s="159"/>
      <c r="R78" s="155"/>
      <c r="S78" s="131"/>
      <c r="T78" s="130"/>
    </row>
    <row r="79" spans="1:20" s="7" customFormat="1" x14ac:dyDescent="0.25">
      <c r="A79" s="152">
        <f>IF(J79&lt;&gt;"",1+MAX($A$18:A78),"")</f>
        <v>40</v>
      </c>
      <c r="B79" s="109"/>
      <c r="C79" s="109"/>
      <c r="D79" s="100" t="s">
        <v>35</v>
      </c>
      <c r="E79" s="179" t="s">
        <v>86</v>
      </c>
      <c r="F79" s="176" t="s">
        <v>746</v>
      </c>
      <c r="G79" s="112">
        <v>6</v>
      </c>
      <c r="H79" s="113">
        <v>0</v>
      </c>
      <c r="I79" s="114">
        <f t="shared" ref="I79:I81" si="59">(G79*(1+H79))</f>
        <v>6</v>
      </c>
      <c r="J79" s="99" t="s">
        <v>225</v>
      </c>
      <c r="K79" s="153">
        <v>0.25</v>
      </c>
      <c r="L79" s="156">
        <f t="shared" ref="L79:L81" si="60">K79*I79</f>
        <v>1.5</v>
      </c>
      <c r="M79" s="58">
        <f>IF(VLOOKUP(E79,'HOURLY RATES'!C$6:D$105,2,0)=0,$E$3,VLOOKUP(E79,'HOURLY RATES'!C$6:D$105,2,0))</f>
        <v>54</v>
      </c>
      <c r="N79" s="157">
        <f t="shared" ref="N79:N81" si="61">M79*L79</f>
        <v>81</v>
      </c>
      <c r="O79" s="158">
        <v>4.5</v>
      </c>
      <c r="P79" s="158">
        <f t="shared" ref="P79:P81" si="62">O79*I79</f>
        <v>27</v>
      </c>
      <c r="Q79" s="159">
        <f t="shared" ref="Q79:Q81" si="63">P79+N79</f>
        <v>108</v>
      </c>
      <c r="R79" s="155"/>
      <c r="S79" s="131">
        <f>((((N79*(1+$D$7))+(P79*(1+$D$5+$D$6)))*(1+$D$8)))/I79</f>
        <v>22.242446099999995</v>
      </c>
      <c r="T79" s="130">
        <f t="shared" ref="T79:T81" si="64">S79*I79</f>
        <v>133.45467659999997</v>
      </c>
    </row>
    <row r="80" spans="1:20" s="7" customFormat="1" x14ac:dyDescent="0.25">
      <c r="A80" s="152">
        <f>IF(J80&lt;&gt;"",1+MAX($A$18:A79),"")</f>
        <v>41</v>
      </c>
      <c r="B80" s="109"/>
      <c r="C80" s="109"/>
      <c r="D80" s="100" t="s">
        <v>35</v>
      </c>
      <c r="E80" s="179" t="s">
        <v>86</v>
      </c>
      <c r="F80" s="176" t="s">
        <v>799</v>
      </c>
      <c r="G80" s="112">
        <v>4</v>
      </c>
      <c r="H80" s="113">
        <v>0</v>
      </c>
      <c r="I80" s="114">
        <f t="shared" ref="I80" si="65">(G80*(1+H80))</f>
        <v>4</v>
      </c>
      <c r="J80" s="99" t="s">
        <v>225</v>
      </c>
      <c r="K80" s="153">
        <v>0.25</v>
      </c>
      <c r="L80" s="156">
        <f t="shared" ref="L80" si="66">K80*I80</f>
        <v>1</v>
      </c>
      <c r="M80" s="58">
        <f>IF(VLOOKUP(E80,'HOURLY RATES'!C$6:D$105,2,0)=0,$E$3,VLOOKUP(E80,'HOURLY RATES'!C$6:D$105,2,0))</f>
        <v>54</v>
      </c>
      <c r="N80" s="157">
        <f t="shared" ref="N80" si="67">M80*L80</f>
        <v>54</v>
      </c>
      <c r="O80" s="158">
        <v>4.5</v>
      </c>
      <c r="P80" s="158">
        <f t="shared" ref="P80" si="68">O80*I80</f>
        <v>18</v>
      </c>
      <c r="Q80" s="159">
        <f t="shared" ref="Q80" si="69">P80+N80</f>
        <v>72</v>
      </c>
      <c r="R80" s="155"/>
      <c r="S80" s="131">
        <f>((((N80*(1+$D$7))+(P80*(1+$D$5+$D$6)))*(1+$D$8)))/I80</f>
        <v>22.242446099999995</v>
      </c>
      <c r="T80" s="130">
        <f t="shared" ref="T80" si="70">S80*I80</f>
        <v>88.96978439999998</v>
      </c>
    </row>
    <row r="81" spans="1:22" s="7" customFormat="1" x14ac:dyDescent="0.25">
      <c r="A81" s="152">
        <f>IF(J81&lt;&gt;"",1+MAX($A$18:A80),"")</f>
        <v>42</v>
      </c>
      <c r="B81" s="109"/>
      <c r="C81" s="109"/>
      <c r="D81" s="100" t="s">
        <v>35</v>
      </c>
      <c r="E81" s="179" t="s">
        <v>86</v>
      </c>
      <c r="F81" s="176" t="s">
        <v>798</v>
      </c>
      <c r="G81" s="112">
        <v>2</v>
      </c>
      <c r="H81" s="113">
        <v>0</v>
      </c>
      <c r="I81" s="114">
        <f t="shared" si="59"/>
        <v>2</v>
      </c>
      <c r="J81" s="99" t="s">
        <v>225</v>
      </c>
      <c r="K81" s="153">
        <v>0.5</v>
      </c>
      <c r="L81" s="156">
        <f t="shared" si="60"/>
        <v>1</v>
      </c>
      <c r="M81" s="58">
        <f>IF(VLOOKUP(E81,'HOURLY RATES'!C$6:D$105,2,0)=0,$E$3,VLOOKUP(E81,'HOURLY RATES'!C$6:D$105,2,0))</f>
        <v>54</v>
      </c>
      <c r="N81" s="157">
        <f t="shared" si="61"/>
        <v>54</v>
      </c>
      <c r="O81" s="158">
        <v>15</v>
      </c>
      <c r="P81" s="158">
        <f t="shared" si="62"/>
        <v>30</v>
      </c>
      <c r="Q81" s="159">
        <f t="shared" si="63"/>
        <v>84</v>
      </c>
      <c r="R81" s="155"/>
      <c r="S81" s="131">
        <f>((((N81*(1+$D$7))+(P81*(1+$D$5+$D$6)))*(1+$D$8)))/I81</f>
        <v>52.217486999999991</v>
      </c>
      <c r="T81" s="130">
        <f t="shared" si="64"/>
        <v>104.43497399999998</v>
      </c>
    </row>
    <row r="82" spans="1:22" s="7" customFormat="1" x14ac:dyDescent="0.25">
      <c r="A82" s="215" t="str">
        <f>IF(J82&lt;&gt;"",1+MAX($A$18:A81),"")</f>
        <v/>
      </c>
      <c r="B82" s="225"/>
      <c r="C82" s="225"/>
      <c r="D82" s="101"/>
      <c r="E82" s="226"/>
      <c r="F82" s="227"/>
      <c r="G82" s="228"/>
      <c r="H82" s="229"/>
      <c r="I82" s="230"/>
      <c r="J82" s="102"/>
      <c r="K82" s="76"/>
      <c r="L82" s="231"/>
      <c r="M82" s="73"/>
      <c r="N82" s="232"/>
      <c r="O82" s="233"/>
      <c r="P82" s="233"/>
      <c r="Q82" s="234"/>
      <c r="R82" s="155"/>
      <c r="S82" s="131"/>
      <c r="T82" s="130"/>
    </row>
    <row r="83" spans="1:22" s="7" customFormat="1" x14ac:dyDescent="0.25">
      <c r="A83" s="304" t="s">
        <v>54</v>
      </c>
      <c r="B83" s="304"/>
      <c r="C83" s="305"/>
      <c r="D83" s="306"/>
      <c r="E83" s="306"/>
      <c r="F83" s="306"/>
      <c r="G83" s="306"/>
      <c r="H83" s="306"/>
      <c r="I83" s="306"/>
      <c r="J83" s="307"/>
      <c r="K83" s="236" t="s">
        <v>228</v>
      </c>
      <c r="L83" s="237">
        <f>SUM(L18:L82)</f>
        <v>177.93781443264305</v>
      </c>
      <c r="M83" s="235" t="s">
        <v>229</v>
      </c>
      <c r="N83" s="238">
        <f>SUM(N18:N82)</f>
        <v>9608.6419793627265</v>
      </c>
      <c r="O83" s="235" t="s">
        <v>230</v>
      </c>
      <c r="P83" s="238">
        <f>SUM(P18:P82)</f>
        <v>6860.0842500000017</v>
      </c>
      <c r="Q83" s="239">
        <f>SUM(Q18:Q82)</f>
        <v>16468.726229362728</v>
      </c>
      <c r="R83" s="239">
        <f>SUM(R18:R82)</f>
        <v>16468.726229362725</v>
      </c>
      <c r="S83" s="132"/>
      <c r="T83" s="133">
        <f>SUM(T18:T82)</f>
        <v>20544.367897382446</v>
      </c>
      <c r="U83" s="1"/>
      <c r="V83" s="1"/>
    </row>
    <row r="84" spans="1:22" s="7" customFormat="1" ht="16.2" thickBot="1" x14ac:dyDescent="0.3">
      <c r="A84" s="302" t="s">
        <v>55</v>
      </c>
      <c r="B84" s="303"/>
      <c r="C84" s="38"/>
      <c r="D84" s="38"/>
      <c r="E84" s="105"/>
      <c r="F84" s="39"/>
      <c r="G84" s="40"/>
      <c r="H84" s="40"/>
      <c r="I84" s="40"/>
      <c r="J84" s="38"/>
      <c r="K84" s="38"/>
      <c r="L84" s="38"/>
      <c r="M84" s="77">
        <f>D5</f>
        <v>6.9720000000000004E-2</v>
      </c>
      <c r="N84" s="78"/>
      <c r="O84" s="78"/>
      <c r="P84" s="78">
        <f>P83*M84</f>
        <v>478.28507391000016</v>
      </c>
      <c r="Q84" s="78">
        <f>P84+N84</f>
        <v>478.28507391000016</v>
      </c>
      <c r="R84" s="160">
        <f>Q84</f>
        <v>478.28507391000016</v>
      </c>
      <c r="S84" s="132"/>
      <c r="T84" s="132"/>
      <c r="U84" s="1"/>
      <c r="V84" s="1"/>
    </row>
    <row r="85" spans="1:22" s="7" customFormat="1" ht="16.8" thickTop="1" thickBot="1" x14ac:dyDescent="0.3">
      <c r="A85" s="161" t="s">
        <v>231</v>
      </c>
      <c r="B85" s="47"/>
      <c r="C85" s="41"/>
      <c r="D85" s="41"/>
      <c r="E85" s="42"/>
      <c r="F85" s="43"/>
      <c r="G85" s="44"/>
      <c r="H85" s="44"/>
      <c r="I85" s="44"/>
      <c r="J85" s="41"/>
      <c r="K85" s="41"/>
      <c r="L85" s="41"/>
      <c r="M85" s="48">
        <f>D6</f>
        <v>0.2</v>
      </c>
      <c r="N85" s="46"/>
      <c r="O85" s="46"/>
      <c r="P85" s="46">
        <f>P83*M85</f>
        <v>1372.0168500000004</v>
      </c>
      <c r="Q85" s="46">
        <f>P85+N85</f>
        <v>1372.0168500000004</v>
      </c>
      <c r="R85" s="162">
        <f>Q85</f>
        <v>1372.0168500000004</v>
      </c>
      <c r="S85" s="132"/>
      <c r="T85" s="132"/>
      <c r="U85" s="1"/>
      <c r="V85" s="1"/>
    </row>
    <row r="86" spans="1:22" s="7" customFormat="1" ht="16.8" thickTop="1" thickBot="1" x14ac:dyDescent="0.3">
      <c r="A86" s="161" t="s">
        <v>232</v>
      </c>
      <c r="B86" s="47"/>
      <c r="C86" s="41"/>
      <c r="D86" s="41"/>
      <c r="E86" s="42"/>
      <c r="F86" s="43"/>
      <c r="G86" s="44"/>
      <c r="H86" s="44"/>
      <c r="I86" s="44"/>
      <c r="J86" s="41"/>
      <c r="K86" s="41"/>
      <c r="L86" s="41"/>
      <c r="M86" s="48">
        <f>D7</f>
        <v>0.2</v>
      </c>
      <c r="N86" s="46">
        <f>N83*M86</f>
        <v>1921.7283958725454</v>
      </c>
      <c r="O86" s="46"/>
      <c r="P86" s="46"/>
      <c r="Q86" s="46">
        <f>P86+N86</f>
        <v>1921.7283958725454</v>
      </c>
      <c r="R86" s="162">
        <f>Q86</f>
        <v>1921.7283958725454</v>
      </c>
      <c r="S86" s="132"/>
      <c r="T86" s="132"/>
      <c r="U86" s="1"/>
      <c r="V86" s="1"/>
    </row>
    <row r="87" spans="1:22" s="7" customFormat="1" ht="16.8" thickTop="1" thickBot="1" x14ac:dyDescent="0.3">
      <c r="A87" s="300" t="s">
        <v>233</v>
      </c>
      <c r="B87" s="301"/>
      <c r="C87" s="41"/>
      <c r="D87" s="41"/>
      <c r="E87" s="42"/>
      <c r="F87" s="43"/>
      <c r="G87" s="44"/>
      <c r="H87" s="44"/>
      <c r="I87" s="44"/>
      <c r="J87" s="41"/>
      <c r="K87" s="41"/>
      <c r="L87" s="41"/>
      <c r="M87" s="45">
        <f>D8</f>
        <v>1.4999999999999999E-2</v>
      </c>
      <c r="N87" s="46">
        <f>(N83+N84+N85+N86)*M87</f>
        <v>172.95555562852908</v>
      </c>
      <c r="O87" s="46"/>
      <c r="P87" s="46">
        <f>(P83+P84+P85+P86)*M87</f>
        <v>130.65579260865005</v>
      </c>
      <c r="Q87" s="46">
        <f>P87+N87</f>
        <v>303.61134823717913</v>
      </c>
      <c r="R87" s="162">
        <f>Q87</f>
        <v>303.61134823717913</v>
      </c>
      <c r="S87" s="132"/>
      <c r="T87" s="132"/>
      <c r="U87" s="1"/>
      <c r="V87" s="1"/>
    </row>
    <row r="88" spans="1:22" s="7" customFormat="1" ht="16.2" thickTop="1" x14ac:dyDescent="0.25">
      <c r="A88" s="298" t="s">
        <v>56</v>
      </c>
      <c r="B88" s="299"/>
      <c r="C88" s="163"/>
      <c r="D88" s="163"/>
      <c r="E88" s="164"/>
      <c r="F88" s="165"/>
      <c r="G88" s="166"/>
      <c r="H88" s="166"/>
      <c r="I88" s="166"/>
      <c r="J88" s="163"/>
      <c r="K88" s="163"/>
      <c r="L88" s="163"/>
      <c r="M88" s="167"/>
      <c r="N88" s="168">
        <f>SUM(N83:N87)</f>
        <v>11703.325930863801</v>
      </c>
      <c r="O88" s="167"/>
      <c r="P88" s="168">
        <f>SUM(P83:P87)</f>
        <v>8841.0419665186528</v>
      </c>
      <c r="Q88" s="168">
        <f>SUM(Q83:Q87)</f>
        <v>20544.367897382454</v>
      </c>
      <c r="R88" s="169">
        <f>SUM(R83:R87)</f>
        <v>20544.36789738245</v>
      </c>
      <c r="S88" s="132"/>
      <c r="T88" s="133">
        <f>T83</f>
        <v>20544.367897382446</v>
      </c>
      <c r="U88" s="1"/>
      <c r="V88" s="1"/>
    </row>
  </sheetData>
  <autoFilter ref="J1:J88" xr:uid="{00000000-0001-0000-0300-000000000000}"/>
  <mergeCells count="8">
    <mergeCell ref="A87:B87"/>
    <mergeCell ref="A88:B88"/>
    <mergeCell ref="A2:R2"/>
    <mergeCell ref="B3:E3"/>
    <mergeCell ref="E16:F16"/>
    <mergeCell ref="A83:B83"/>
    <mergeCell ref="C83:J83"/>
    <mergeCell ref="A84:B84"/>
  </mergeCells>
  <dataValidations count="1">
    <dataValidation type="list" allowBlank="1" showInputMessage="1" showErrorMessage="1" sqref="E63" xr:uid="{8035BC66-BEAB-45AC-8BA3-081DFE4F79E9}">
      <formula1>#REF!</formula1>
    </dataValidation>
  </dataValidations>
  <hyperlinks>
    <hyperlink ref="D3:E3" location="'COST SUMMARY'!A1" display="CLICK HERE TO GO BACK TO COST SUMMARY" xr:uid="{813D7795-5ADA-4793-AEDC-1FC83A1E4DC9}"/>
  </hyperlinks>
  <printOptions horizontalCentered="1"/>
  <pageMargins left="0.25" right="0.25" top="0.75" bottom="0.75" header="0.3" footer="0.3"/>
  <pageSetup paperSize="9" scale="22" fitToHeight="0" orientation="portrait" r:id="rId1"/>
  <headerFooter>
    <oddFooter>&amp;C&amp;P of &amp;N</oddFooter>
  </headerFooter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1EF87ED3-F7C7-4511-AE51-69888996ACB0}">
          <x14:formula1>
            <xm:f>'HOURLY RATES'!$B$116:$B$126</xm:f>
          </x14:formula1>
          <xm:sqref>J71:J76 J19:J68 J79:J81</xm:sqref>
        </x14:dataValidation>
        <x14:dataValidation type="list" allowBlank="1" showInputMessage="1" showErrorMessage="1" xr:uid="{EEA70463-0F33-44F8-ADAB-01BC9A9D3C25}">
          <x14:formula1>
            <xm:f>'HOURLY RATES'!$C$6:$C$105</xm:f>
          </x14:formula1>
          <xm:sqref>E21:E32 E60:E62 E54:E57 E47:E51 E34:E36 E39:E44 E65:E68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FFFF00"/>
    <pageSetUpPr fitToPage="1"/>
  </sheetPr>
  <dimension ref="A1:S77"/>
  <sheetViews>
    <sheetView showGridLines="0" zoomScale="70" zoomScaleNormal="70" workbookViewId="0">
      <selection sqref="A1:S4"/>
    </sheetView>
  </sheetViews>
  <sheetFormatPr defaultColWidth="8.81640625" defaultRowHeight="15.6" x14ac:dyDescent="0.3"/>
  <cols>
    <col min="1" max="15" width="8.81640625" style="80"/>
    <col min="16" max="17" width="9.1796875" style="80" customWidth="1"/>
    <col min="18" max="16384" width="8.81640625" style="80"/>
  </cols>
  <sheetData>
    <row r="1" spans="1:19" ht="15.6" customHeight="1" x14ac:dyDescent="0.3">
      <c r="A1" s="313" t="s">
        <v>0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  <c r="O1" s="314"/>
      <c r="P1" s="314"/>
      <c r="Q1" s="314"/>
      <c r="R1" s="314"/>
      <c r="S1" s="315"/>
    </row>
    <row r="2" spans="1:19" s="81" customFormat="1" ht="20.399999999999999" customHeight="1" x14ac:dyDescent="0.4">
      <c r="A2" s="316"/>
      <c r="B2" s="317"/>
      <c r="C2" s="317"/>
      <c r="D2" s="317"/>
      <c r="E2" s="317"/>
      <c r="F2" s="317"/>
      <c r="G2" s="317"/>
      <c r="H2" s="317"/>
      <c r="I2" s="317"/>
      <c r="J2" s="317"/>
      <c r="K2" s="317"/>
      <c r="L2" s="317"/>
      <c r="M2" s="317"/>
      <c r="N2" s="317"/>
      <c r="O2" s="317"/>
      <c r="P2" s="317"/>
      <c r="Q2" s="317"/>
      <c r="R2" s="317"/>
      <c r="S2" s="318"/>
    </row>
    <row r="3" spans="1:19" ht="15.6" customHeight="1" x14ac:dyDescent="0.3">
      <c r="A3" s="316"/>
      <c r="B3" s="317"/>
      <c r="C3" s="317"/>
      <c r="D3" s="317"/>
      <c r="E3" s="317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8"/>
    </row>
    <row r="4" spans="1:19" ht="15.6" customHeight="1" x14ac:dyDescent="0.3">
      <c r="A4" s="319"/>
      <c r="B4" s="320"/>
      <c r="C4" s="320"/>
      <c r="D4" s="320"/>
      <c r="E4" s="320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1"/>
    </row>
    <row r="5" spans="1:19" x14ac:dyDescent="0.3">
      <c r="A5" s="240"/>
      <c r="S5" s="241"/>
    </row>
    <row r="6" spans="1:19" s="82" customFormat="1" ht="21.6" thickBot="1" x14ac:dyDescent="0.45">
      <c r="A6" s="242"/>
      <c r="B6" s="322"/>
      <c r="C6" s="322"/>
      <c r="D6" s="243"/>
      <c r="E6" s="323"/>
      <c r="F6" s="323"/>
      <c r="G6" s="243"/>
      <c r="H6" s="324"/>
      <c r="I6" s="324"/>
      <c r="J6" s="243"/>
      <c r="K6" s="325"/>
      <c r="L6" s="325"/>
      <c r="M6" s="243"/>
      <c r="N6" s="326"/>
      <c r="O6" s="326"/>
      <c r="P6" s="243"/>
      <c r="Q6" s="327"/>
      <c r="R6" s="327"/>
      <c r="S6" s="244"/>
    </row>
    <row r="7" spans="1:19" x14ac:dyDescent="0.3">
      <c r="A7" s="240"/>
      <c r="S7" s="241"/>
    </row>
    <row r="8" spans="1:19" x14ac:dyDescent="0.3">
      <c r="A8" s="240"/>
      <c r="S8" s="241"/>
    </row>
    <row r="9" spans="1:19" x14ac:dyDescent="0.3">
      <c r="A9" s="240"/>
      <c r="S9" s="241"/>
    </row>
    <row r="10" spans="1:19" x14ac:dyDescent="0.3">
      <c r="A10" s="240"/>
      <c r="S10" s="241"/>
    </row>
    <row r="11" spans="1:19" x14ac:dyDescent="0.3">
      <c r="A11" s="240"/>
      <c r="S11" s="241"/>
    </row>
    <row r="12" spans="1:19" ht="21" x14ac:dyDescent="0.4">
      <c r="A12" s="240"/>
      <c r="B12" s="243"/>
      <c r="K12" s="243"/>
      <c r="S12" s="241"/>
    </row>
    <row r="13" spans="1:19" x14ac:dyDescent="0.3">
      <c r="A13" s="240"/>
      <c r="S13" s="241"/>
    </row>
    <row r="14" spans="1:19" ht="18" x14ac:dyDescent="0.35">
      <c r="A14" s="240"/>
      <c r="B14" s="245"/>
      <c r="C14" s="245"/>
      <c r="D14" s="245"/>
      <c r="E14" s="245"/>
      <c r="F14" s="245"/>
      <c r="G14" s="245"/>
      <c r="H14" s="245"/>
      <c r="I14" s="245"/>
      <c r="K14" s="310"/>
      <c r="L14" s="310"/>
      <c r="M14" s="310"/>
      <c r="N14" s="310"/>
      <c r="O14" s="310"/>
      <c r="P14" s="310"/>
      <c r="Q14" s="310"/>
      <c r="R14" s="310"/>
      <c r="S14" s="241"/>
    </row>
    <row r="15" spans="1:19" x14ac:dyDescent="0.3">
      <c r="A15" s="240"/>
      <c r="B15" s="246"/>
      <c r="C15" s="246"/>
      <c r="D15" s="246"/>
      <c r="E15" s="246"/>
      <c r="F15" s="104"/>
      <c r="G15" s="104"/>
      <c r="H15" s="83"/>
      <c r="I15" s="83"/>
      <c r="K15" s="246"/>
      <c r="L15" s="246"/>
      <c r="M15" s="246"/>
      <c r="N15" s="246"/>
      <c r="O15" s="246"/>
      <c r="P15" s="246"/>
      <c r="Q15" s="328"/>
      <c r="R15" s="328"/>
      <c r="S15" s="241"/>
    </row>
    <row r="16" spans="1:19" x14ac:dyDescent="0.3">
      <c r="A16" s="240"/>
      <c r="B16" s="246"/>
      <c r="C16" s="246"/>
      <c r="D16" s="246"/>
      <c r="E16" s="246"/>
      <c r="F16" s="104"/>
      <c r="G16" s="104"/>
      <c r="I16" s="83"/>
      <c r="K16" s="246"/>
      <c r="L16" s="246"/>
      <c r="M16" s="246"/>
      <c r="N16" s="246"/>
      <c r="O16" s="246"/>
      <c r="P16" s="246"/>
      <c r="Q16" s="328"/>
      <c r="R16" s="328"/>
      <c r="S16" s="241"/>
    </row>
    <row r="17" spans="1:19" x14ac:dyDescent="0.3">
      <c r="A17" s="240"/>
      <c r="B17" s="246"/>
      <c r="C17" s="246"/>
      <c r="D17" s="246"/>
      <c r="E17" s="246"/>
      <c r="F17" s="104"/>
      <c r="G17" s="104"/>
      <c r="I17" s="247"/>
      <c r="K17" s="246"/>
      <c r="L17" s="246"/>
      <c r="M17" s="246"/>
      <c r="N17" s="246"/>
      <c r="O17" s="246"/>
      <c r="P17" s="246"/>
      <c r="S17" s="241"/>
    </row>
    <row r="18" spans="1:19" x14ac:dyDescent="0.3">
      <c r="A18" s="240"/>
      <c r="B18" s="246"/>
      <c r="C18" s="246"/>
      <c r="D18" s="246"/>
      <c r="E18" s="246"/>
      <c r="F18" s="104"/>
      <c r="G18" s="104"/>
      <c r="H18" s="247"/>
      <c r="I18" s="247"/>
      <c r="K18" s="246"/>
      <c r="L18" s="246"/>
      <c r="M18" s="246"/>
      <c r="N18" s="246"/>
      <c r="O18" s="246"/>
      <c r="P18" s="246"/>
      <c r="Q18" s="246"/>
      <c r="R18" s="246"/>
      <c r="S18" s="241"/>
    </row>
    <row r="19" spans="1:19" ht="15.6" customHeight="1" x14ac:dyDescent="0.3">
      <c r="A19" s="240"/>
      <c r="B19" s="246"/>
      <c r="C19" s="246"/>
      <c r="D19" s="246"/>
      <c r="E19" s="246"/>
      <c r="F19" s="104"/>
      <c r="G19" s="104"/>
      <c r="H19" s="247"/>
      <c r="I19" s="247"/>
      <c r="K19" s="248"/>
      <c r="L19" s="248"/>
      <c r="M19" s="248"/>
      <c r="N19" s="248"/>
      <c r="O19" s="248"/>
      <c r="P19" s="248"/>
      <c r="Q19" s="248"/>
      <c r="R19" s="248"/>
      <c r="S19" s="241"/>
    </row>
    <row r="20" spans="1:19" ht="15.6" customHeight="1" x14ac:dyDescent="0.3">
      <c r="A20" s="240"/>
      <c r="B20" s="246"/>
      <c r="C20" s="246"/>
      <c r="D20" s="246"/>
      <c r="E20" s="246"/>
      <c r="F20" s="104"/>
      <c r="G20" s="104"/>
      <c r="H20" s="247"/>
      <c r="I20" s="247"/>
      <c r="K20" s="248"/>
      <c r="L20" s="248"/>
      <c r="M20" s="248"/>
      <c r="N20" s="248"/>
      <c r="O20" s="248"/>
      <c r="P20" s="248"/>
      <c r="Q20" s="248"/>
      <c r="R20" s="248"/>
      <c r="S20" s="241"/>
    </row>
    <row r="21" spans="1:19" x14ac:dyDescent="0.3">
      <c r="A21" s="240"/>
      <c r="S21" s="241"/>
    </row>
    <row r="22" spans="1:19" ht="21" x14ac:dyDescent="0.4">
      <c r="A22" s="240"/>
      <c r="K22" s="243"/>
      <c r="S22" s="241"/>
    </row>
    <row r="23" spans="1:19" x14ac:dyDescent="0.3">
      <c r="A23" s="240"/>
      <c r="S23" s="241"/>
    </row>
    <row r="24" spans="1:19" x14ac:dyDescent="0.3">
      <c r="A24" s="240"/>
      <c r="S24" s="241"/>
    </row>
    <row r="25" spans="1:19" x14ac:dyDescent="0.3">
      <c r="A25" s="240"/>
      <c r="S25" s="241"/>
    </row>
    <row r="26" spans="1:19" s="84" customFormat="1" ht="18" x14ac:dyDescent="0.35">
      <c r="A26" s="249"/>
      <c r="K26" s="245"/>
      <c r="L26" s="245"/>
      <c r="M26" s="245"/>
      <c r="N26" s="245"/>
      <c r="O26" s="245"/>
      <c r="P26" s="245"/>
      <c r="Q26" s="245"/>
      <c r="R26" s="245"/>
      <c r="S26" s="241"/>
    </row>
    <row r="27" spans="1:19" x14ac:dyDescent="0.3">
      <c r="A27" s="240"/>
      <c r="K27" s="246"/>
      <c r="L27" s="246"/>
      <c r="M27" s="246"/>
      <c r="N27" s="246"/>
      <c r="O27" s="246"/>
      <c r="P27" s="246"/>
      <c r="Q27" s="246"/>
      <c r="R27" s="85"/>
      <c r="S27" s="241"/>
    </row>
    <row r="28" spans="1:19" x14ac:dyDescent="0.3">
      <c r="A28" s="240"/>
      <c r="K28" s="246"/>
      <c r="L28" s="246"/>
      <c r="M28" s="246"/>
      <c r="N28" s="246"/>
      <c r="O28" s="246"/>
      <c r="P28" s="246"/>
      <c r="Q28" s="246"/>
      <c r="R28" s="85"/>
      <c r="S28" s="241"/>
    </row>
    <row r="29" spans="1:19" x14ac:dyDescent="0.3">
      <c r="A29" s="240"/>
      <c r="K29" s="246"/>
      <c r="L29" s="246"/>
      <c r="M29" s="246"/>
      <c r="N29" s="246"/>
      <c r="O29" s="246"/>
      <c r="P29" s="246"/>
      <c r="Q29" s="246"/>
      <c r="R29" s="85"/>
      <c r="S29" s="241"/>
    </row>
    <row r="30" spans="1:19" x14ac:dyDescent="0.3">
      <c r="A30" s="240"/>
      <c r="K30" s="246"/>
      <c r="L30" s="246"/>
      <c r="M30" s="246"/>
      <c r="N30" s="246"/>
      <c r="O30" s="246"/>
      <c r="P30" s="246"/>
      <c r="Q30" s="246"/>
      <c r="R30" s="85"/>
      <c r="S30" s="241"/>
    </row>
    <row r="31" spans="1:19" x14ac:dyDescent="0.3">
      <c r="A31" s="240"/>
      <c r="K31" s="246"/>
      <c r="L31" s="246"/>
      <c r="M31" s="246"/>
      <c r="N31" s="246"/>
      <c r="O31" s="246"/>
      <c r="P31" s="246"/>
      <c r="Q31" s="246"/>
      <c r="R31" s="85"/>
      <c r="S31" s="241"/>
    </row>
    <row r="32" spans="1:19" x14ac:dyDescent="0.3">
      <c r="A32" s="240"/>
      <c r="K32" s="246"/>
      <c r="L32" s="246"/>
      <c r="M32" s="246"/>
      <c r="N32" s="246"/>
      <c r="O32" s="246"/>
      <c r="P32" s="246"/>
      <c r="Q32" s="246"/>
      <c r="R32" s="85"/>
      <c r="S32" s="241"/>
    </row>
    <row r="33" spans="1:19" x14ac:dyDescent="0.3">
      <c r="A33" s="240"/>
      <c r="K33" s="246"/>
      <c r="L33" s="246"/>
      <c r="M33" s="246"/>
      <c r="N33" s="246"/>
      <c r="O33" s="246"/>
      <c r="P33" s="246"/>
      <c r="Q33" s="246"/>
      <c r="R33" s="85"/>
      <c r="S33" s="241"/>
    </row>
    <row r="34" spans="1:19" x14ac:dyDescent="0.3">
      <c r="A34" s="240"/>
      <c r="K34" s="246"/>
      <c r="L34" s="246"/>
      <c r="M34" s="246"/>
      <c r="N34" s="246"/>
      <c r="O34" s="246"/>
      <c r="P34" s="246"/>
      <c r="Q34" s="246"/>
      <c r="R34" s="85"/>
      <c r="S34" s="241"/>
    </row>
    <row r="35" spans="1:19" x14ac:dyDescent="0.3">
      <c r="A35" s="308"/>
      <c r="B35" s="309"/>
      <c r="C35" s="309"/>
      <c r="D35" s="309"/>
      <c r="I35" s="312" t="s">
        <v>1</v>
      </c>
      <c r="J35" s="312"/>
      <c r="K35" s="312"/>
      <c r="L35" s="312"/>
      <c r="M35" s="246"/>
      <c r="N35" s="246"/>
      <c r="O35" s="246"/>
      <c r="P35" s="246"/>
      <c r="Q35" s="246"/>
      <c r="R35" s="85"/>
      <c r="S35" s="241"/>
    </row>
    <row r="36" spans="1:19" x14ac:dyDescent="0.3">
      <c r="A36" s="240"/>
      <c r="Q36" s="246"/>
      <c r="R36" s="85"/>
      <c r="S36" s="241"/>
    </row>
    <row r="37" spans="1:19" x14ac:dyDescent="0.3">
      <c r="A37" s="240" t="s">
        <v>2</v>
      </c>
      <c r="K37" s="246"/>
      <c r="L37" s="250"/>
      <c r="M37" s="246"/>
      <c r="N37" s="246"/>
      <c r="O37" s="246"/>
      <c r="P37" s="246"/>
      <c r="Q37" s="246"/>
      <c r="R37" s="85"/>
      <c r="S37" s="241"/>
    </row>
    <row r="38" spans="1:19" ht="15.6" customHeight="1" x14ac:dyDescent="0.3">
      <c r="A38" s="240"/>
      <c r="B38" s="251"/>
      <c r="C38" s="251"/>
      <c r="D38" s="251"/>
      <c r="E38" s="251"/>
      <c r="F38" s="251"/>
      <c r="G38" s="251"/>
      <c r="H38" s="251"/>
      <c r="K38" s="311"/>
      <c r="L38" s="311"/>
      <c r="M38" s="311"/>
      <c r="N38" s="311"/>
      <c r="P38" s="246"/>
      <c r="Q38" s="246"/>
      <c r="R38" s="85"/>
      <c r="S38" s="241"/>
    </row>
    <row r="39" spans="1:19" ht="15.6" customHeight="1" x14ac:dyDescent="0.3">
      <c r="A39" s="240"/>
      <c r="B39" s="251"/>
      <c r="C39" s="251"/>
      <c r="D39" s="251"/>
      <c r="E39" s="251"/>
      <c r="F39" s="251"/>
      <c r="G39" s="251"/>
      <c r="H39" s="251"/>
      <c r="I39" s="251"/>
      <c r="K39" s="246"/>
      <c r="L39" s="246"/>
      <c r="M39" s="246"/>
      <c r="N39" s="246"/>
      <c r="O39" s="246"/>
      <c r="P39" s="246"/>
      <c r="Q39" s="246"/>
      <c r="R39" s="85"/>
      <c r="S39" s="241"/>
    </row>
    <row r="40" spans="1:19" x14ac:dyDescent="0.3">
      <c r="A40" s="240"/>
      <c r="K40" s="246"/>
      <c r="L40" s="246"/>
      <c r="M40" s="246"/>
      <c r="N40" s="246"/>
      <c r="O40" s="246"/>
      <c r="P40" s="246"/>
      <c r="R40" s="85"/>
      <c r="S40" s="241"/>
    </row>
    <row r="41" spans="1:19" x14ac:dyDescent="0.3">
      <c r="A41" s="240"/>
      <c r="K41" s="246"/>
      <c r="L41" s="246"/>
      <c r="M41" s="246"/>
      <c r="N41" s="246"/>
      <c r="O41" s="246"/>
      <c r="P41" s="246"/>
      <c r="R41" s="85"/>
      <c r="S41" s="241"/>
    </row>
    <row r="42" spans="1:19" ht="18" x14ac:dyDescent="0.35">
      <c r="A42" s="240"/>
      <c r="B42" s="245"/>
      <c r="C42" s="245"/>
      <c r="D42" s="245"/>
      <c r="E42" s="245"/>
      <c r="F42" s="245"/>
      <c r="G42" s="245"/>
      <c r="H42" s="245"/>
      <c r="I42" s="245"/>
      <c r="K42" s="246"/>
      <c r="L42" s="246"/>
      <c r="M42" s="246"/>
      <c r="N42" s="246"/>
      <c r="O42" s="246"/>
      <c r="P42" s="246"/>
      <c r="R42" s="85"/>
      <c r="S42" s="241"/>
    </row>
    <row r="43" spans="1:19" x14ac:dyDescent="0.3">
      <c r="A43" s="240"/>
      <c r="B43" s="246"/>
      <c r="C43" s="246"/>
      <c r="D43" s="246"/>
      <c r="E43" s="246"/>
      <c r="F43" s="246"/>
      <c r="G43" s="246"/>
      <c r="H43" s="246"/>
      <c r="I43" s="85"/>
      <c r="K43" s="246"/>
      <c r="L43" s="246"/>
      <c r="M43" s="246"/>
      <c r="N43" s="246"/>
      <c r="O43" s="246"/>
      <c r="P43" s="246"/>
      <c r="R43" s="85"/>
      <c r="S43" s="241"/>
    </row>
    <row r="44" spans="1:19" x14ac:dyDescent="0.3">
      <c r="A44" s="240"/>
      <c r="B44" s="246"/>
      <c r="C44" s="246"/>
      <c r="D44" s="246"/>
      <c r="E44" s="246"/>
      <c r="F44" s="246"/>
      <c r="G44" s="246"/>
      <c r="H44" s="246"/>
      <c r="I44" s="85"/>
      <c r="K44" s="246"/>
      <c r="L44" s="246"/>
      <c r="M44" s="246"/>
      <c r="N44" s="246"/>
      <c r="O44" s="246"/>
      <c r="P44" s="246"/>
      <c r="R44" s="85"/>
      <c r="S44" s="241"/>
    </row>
    <row r="45" spans="1:19" x14ac:dyDescent="0.3">
      <c r="A45" s="240"/>
      <c r="B45" s="246"/>
      <c r="C45" s="246"/>
      <c r="D45" s="246"/>
      <c r="E45" s="246"/>
      <c r="F45" s="246"/>
      <c r="G45" s="246"/>
      <c r="H45" s="246"/>
      <c r="I45" s="85"/>
      <c r="K45" s="246"/>
      <c r="L45" s="246"/>
      <c r="M45" s="246"/>
      <c r="N45" s="246"/>
      <c r="O45" s="246"/>
      <c r="P45" s="246"/>
      <c r="R45" s="85"/>
      <c r="S45" s="241"/>
    </row>
    <row r="46" spans="1:19" x14ac:dyDescent="0.3">
      <c r="A46" s="240"/>
      <c r="B46" s="246"/>
      <c r="C46" s="246"/>
      <c r="D46" s="246"/>
      <c r="E46" s="246"/>
      <c r="F46" s="246"/>
      <c r="G46" s="246"/>
      <c r="H46" s="246"/>
      <c r="I46" s="85"/>
      <c r="K46" s="246"/>
      <c r="L46" s="246"/>
      <c r="M46" s="246"/>
      <c r="N46" s="246"/>
      <c r="O46" s="246"/>
      <c r="P46" s="246"/>
      <c r="R46" s="85"/>
      <c r="S46" s="241"/>
    </row>
    <row r="47" spans="1:19" x14ac:dyDescent="0.3">
      <c r="A47" s="240"/>
      <c r="B47" s="246"/>
      <c r="C47" s="246"/>
      <c r="D47" s="246"/>
      <c r="E47" s="246"/>
      <c r="F47" s="246"/>
      <c r="G47" s="246"/>
      <c r="H47" s="246"/>
      <c r="I47" s="85"/>
      <c r="K47" s="246"/>
      <c r="L47" s="246"/>
      <c r="M47" s="246"/>
      <c r="N47" s="246"/>
      <c r="O47" s="246"/>
      <c r="P47" s="246"/>
      <c r="R47" s="85"/>
      <c r="S47" s="241"/>
    </row>
    <row r="48" spans="1:19" x14ac:dyDescent="0.3">
      <c r="A48" s="240"/>
      <c r="B48" s="246"/>
      <c r="C48" s="246"/>
      <c r="D48" s="246"/>
      <c r="E48" s="246"/>
      <c r="F48" s="246"/>
      <c r="G48" s="246"/>
      <c r="H48" s="246"/>
      <c r="I48" s="85"/>
      <c r="K48" s="246"/>
      <c r="L48" s="246"/>
      <c r="M48" s="246"/>
      <c r="N48" s="246"/>
      <c r="O48" s="246"/>
      <c r="P48" s="246"/>
      <c r="R48" s="85"/>
      <c r="S48" s="241"/>
    </row>
    <row r="49" spans="1:19" x14ac:dyDescent="0.3">
      <c r="A49" s="240"/>
      <c r="B49" s="246"/>
      <c r="C49" s="246"/>
      <c r="D49" s="246"/>
      <c r="E49" s="246"/>
      <c r="F49" s="246"/>
      <c r="G49" s="246"/>
      <c r="H49" s="246"/>
      <c r="I49" s="85"/>
      <c r="K49" s="246"/>
      <c r="L49" s="246"/>
      <c r="M49" s="246"/>
      <c r="N49" s="246"/>
      <c r="O49" s="246"/>
      <c r="P49" s="246"/>
      <c r="R49" s="85"/>
      <c r="S49" s="241"/>
    </row>
    <row r="50" spans="1:19" x14ac:dyDescent="0.3">
      <c r="A50" s="240"/>
      <c r="B50" s="246"/>
      <c r="C50" s="246"/>
      <c r="D50" s="246"/>
      <c r="E50" s="246"/>
      <c r="F50" s="246"/>
      <c r="G50" s="246"/>
      <c r="H50" s="246"/>
      <c r="I50" s="85"/>
      <c r="K50" s="246"/>
      <c r="L50" s="246"/>
      <c r="M50" s="246"/>
      <c r="N50" s="246"/>
      <c r="O50" s="246"/>
      <c r="P50" s="246"/>
      <c r="R50" s="85"/>
      <c r="S50" s="241"/>
    </row>
    <row r="51" spans="1:19" x14ac:dyDescent="0.3">
      <c r="A51" s="240"/>
      <c r="B51" s="246"/>
      <c r="C51" s="246"/>
      <c r="D51" s="246"/>
      <c r="E51" s="246"/>
      <c r="F51" s="246"/>
      <c r="G51" s="246"/>
      <c r="H51" s="246"/>
      <c r="I51" s="85"/>
      <c r="K51" s="246"/>
      <c r="L51" s="246"/>
      <c r="M51" s="246"/>
      <c r="N51" s="246"/>
      <c r="O51" s="246"/>
      <c r="P51" s="246"/>
      <c r="R51" s="85"/>
      <c r="S51" s="241"/>
    </row>
    <row r="52" spans="1:19" x14ac:dyDescent="0.3">
      <c r="A52" s="240"/>
      <c r="B52" s="246"/>
      <c r="C52" s="246"/>
      <c r="D52" s="246"/>
      <c r="E52" s="246"/>
      <c r="F52" s="246"/>
      <c r="G52" s="246"/>
      <c r="H52" s="246"/>
      <c r="I52" s="85"/>
      <c r="K52" s="246"/>
      <c r="L52" s="246"/>
      <c r="M52" s="246"/>
      <c r="N52" s="246"/>
      <c r="O52" s="246"/>
      <c r="P52" s="246"/>
      <c r="R52" s="85"/>
      <c r="S52" s="241"/>
    </row>
    <row r="53" spans="1:19" x14ac:dyDescent="0.3">
      <c r="A53" s="240"/>
      <c r="B53" s="246"/>
      <c r="C53" s="246"/>
      <c r="D53" s="246"/>
      <c r="E53" s="246"/>
      <c r="F53" s="246"/>
      <c r="G53" s="246"/>
      <c r="H53" s="246"/>
      <c r="I53" s="85"/>
      <c r="K53" s="246"/>
      <c r="L53" s="246"/>
      <c r="M53" s="246"/>
      <c r="N53" s="246"/>
      <c r="O53" s="246"/>
      <c r="P53" s="246"/>
      <c r="R53" s="85"/>
      <c r="S53" s="241"/>
    </row>
    <row r="54" spans="1:19" x14ac:dyDescent="0.3">
      <c r="A54" s="240"/>
      <c r="B54" s="246"/>
      <c r="C54" s="246"/>
      <c r="D54" s="246"/>
      <c r="E54" s="246"/>
      <c r="F54" s="246"/>
      <c r="G54" s="246"/>
      <c r="H54" s="246"/>
      <c r="I54" s="85"/>
      <c r="K54" s="246"/>
      <c r="L54" s="246"/>
      <c r="M54" s="246"/>
      <c r="N54" s="246"/>
      <c r="O54" s="246"/>
      <c r="P54" s="246"/>
      <c r="R54" s="85"/>
      <c r="S54" s="241"/>
    </row>
    <row r="55" spans="1:19" x14ac:dyDescent="0.3">
      <c r="A55" s="240"/>
      <c r="B55" s="246"/>
      <c r="C55" s="246"/>
      <c r="D55" s="246"/>
      <c r="E55" s="246"/>
      <c r="F55" s="246"/>
      <c r="G55" s="246"/>
      <c r="H55" s="246"/>
      <c r="I55" s="85"/>
      <c r="K55" s="246"/>
      <c r="L55" s="246"/>
      <c r="M55" s="246"/>
      <c r="N55" s="246"/>
      <c r="O55" s="246"/>
      <c r="P55" s="246"/>
      <c r="R55" s="85"/>
      <c r="S55" s="241"/>
    </row>
    <row r="56" spans="1:19" x14ac:dyDescent="0.3">
      <c r="A56" s="240"/>
      <c r="S56" s="241"/>
    </row>
    <row r="57" spans="1:19" x14ac:dyDescent="0.3">
      <c r="A57" s="240"/>
      <c r="S57" s="241"/>
    </row>
    <row r="58" spans="1:19" x14ac:dyDescent="0.3">
      <c r="A58" s="240"/>
      <c r="S58" s="241"/>
    </row>
    <row r="59" spans="1:19" x14ac:dyDescent="0.3">
      <c r="A59" s="240"/>
      <c r="S59" s="241"/>
    </row>
    <row r="60" spans="1:19" x14ac:dyDescent="0.3">
      <c r="A60" s="240"/>
      <c r="S60" s="241"/>
    </row>
    <row r="61" spans="1:19" x14ac:dyDescent="0.3">
      <c r="A61" s="240"/>
      <c r="S61" s="241"/>
    </row>
    <row r="62" spans="1:19" x14ac:dyDescent="0.3">
      <c r="A62" s="240"/>
      <c r="S62" s="241"/>
    </row>
    <row r="63" spans="1:19" x14ac:dyDescent="0.3">
      <c r="A63" s="240"/>
      <c r="S63" s="241"/>
    </row>
    <row r="64" spans="1:19" x14ac:dyDescent="0.3">
      <c r="A64" s="240"/>
      <c r="S64" s="241"/>
    </row>
    <row r="65" spans="1:19" x14ac:dyDescent="0.3">
      <c r="A65" s="240"/>
      <c r="S65" s="241"/>
    </row>
    <row r="66" spans="1:19" x14ac:dyDescent="0.3">
      <c r="A66" s="240"/>
      <c r="S66" s="241"/>
    </row>
    <row r="67" spans="1:19" x14ac:dyDescent="0.3">
      <c r="A67" s="240"/>
      <c r="S67" s="241"/>
    </row>
    <row r="68" spans="1:19" x14ac:dyDescent="0.3">
      <c r="A68" s="240"/>
      <c r="S68" s="241"/>
    </row>
    <row r="69" spans="1:19" x14ac:dyDescent="0.3">
      <c r="A69" s="240"/>
      <c r="S69" s="241"/>
    </row>
    <row r="70" spans="1:19" x14ac:dyDescent="0.3">
      <c r="A70" s="240"/>
      <c r="S70" s="241"/>
    </row>
    <row r="71" spans="1:19" x14ac:dyDescent="0.3">
      <c r="A71" s="240"/>
      <c r="S71" s="241"/>
    </row>
    <row r="72" spans="1:19" x14ac:dyDescent="0.3">
      <c r="A72" s="240"/>
      <c r="S72" s="241"/>
    </row>
    <row r="73" spans="1:19" x14ac:dyDescent="0.3">
      <c r="A73" s="240"/>
      <c r="S73" s="241"/>
    </row>
    <row r="74" spans="1:19" x14ac:dyDescent="0.3">
      <c r="A74" s="240"/>
      <c r="S74" s="241"/>
    </row>
    <row r="75" spans="1:19" x14ac:dyDescent="0.3">
      <c r="A75" s="240"/>
      <c r="S75" s="241"/>
    </row>
    <row r="76" spans="1:19" x14ac:dyDescent="0.3">
      <c r="A76" s="240"/>
      <c r="S76" s="241"/>
    </row>
    <row r="77" spans="1:19" x14ac:dyDescent="0.3">
      <c r="A77" s="252"/>
      <c r="B77" s="253"/>
      <c r="C77" s="253"/>
      <c r="D77" s="253"/>
      <c r="E77" s="253"/>
      <c r="F77" s="253"/>
      <c r="G77" s="253"/>
      <c r="H77" s="253"/>
      <c r="I77" s="253"/>
      <c r="J77" s="253"/>
      <c r="K77" s="253"/>
      <c r="L77" s="253"/>
      <c r="M77" s="253"/>
      <c r="N77" s="253"/>
      <c r="O77" s="253"/>
      <c r="P77" s="253"/>
      <c r="Q77" s="253"/>
      <c r="R77" s="253"/>
      <c r="S77" s="254"/>
    </row>
  </sheetData>
  <mergeCells count="14">
    <mergeCell ref="A35:D35"/>
    <mergeCell ref="K14:P14"/>
    <mergeCell ref="K38:N38"/>
    <mergeCell ref="I35:L35"/>
    <mergeCell ref="A1:S4"/>
    <mergeCell ref="B6:C6"/>
    <mergeCell ref="E6:F6"/>
    <mergeCell ref="H6:I6"/>
    <mergeCell ref="K6:L6"/>
    <mergeCell ref="N6:O6"/>
    <mergeCell ref="Q6:R6"/>
    <mergeCell ref="Q16:R16"/>
    <mergeCell ref="Q14:R14"/>
    <mergeCell ref="Q15:R15"/>
  </mergeCells>
  <conditionalFormatting sqref="I43:I55">
    <cfRule type="expression" dxfId="5" priority="3">
      <formula>I43=0</formula>
    </cfRule>
    <cfRule type="expression" dxfId="4" priority="4">
      <formula>I43&lt;1</formula>
    </cfRule>
  </conditionalFormatting>
  <conditionalFormatting sqref="R27:R55">
    <cfRule type="expression" dxfId="3" priority="1">
      <formula>R27=0</formula>
    </cfRule>
    <cfRule type="expression" dxfId="2" priority="2">
      <formula>R27&lt;1</formula>
    </cfRule>
  </conditionalFormatting>
  <pageMargins left="0.7" right="0.7" top="0.75" bottom="0.75" header="0.3" footer="0.3"/>
  <pageSetup scale="44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A3:G11"/>
  <sheetViews>
    <sheetView workbookViewId="0">
      <selection activeCell="E21" sqref="E21"/>
    </sheetView>
  </sheetViews>
  <sheetFormatPr defaultColWidth="8.81640625" defaultRowHeight="15" x14ac:dyDescent="0.25"/>
  <cols>
    <col min="1" max="1" width="8.81640625" style="15"/>
    <col min="2" max="2" width="30.453125" style="15" bestFit="1" customWidth="1"/>
    <col min="3" max="3" width="15" style="15" bestFit="1" customWidth="1"/>
    <col min="4" max="4" width="14.54296875" style="15" bestFit="1" customWidth="1"/>
    <col min="5" max="5" width="16.54296875" style="15" bestFit="1" customWidth="1"/>
    <col min="6" max="6" width="34.90625" style="15" bestFit="1" customWidth="1"/>
    <col min="7" max="7" width="24" style="67" bestFit="1" customWidth="1"/>
    <col min="8" max="16384" width="8.81640625" style="15"/>
  </cols>
  <sheetData>
    <row r="3" spans="1:6" x14ac:dyDescent="0.25">
      <c r="A3" s="17" t="s">
        <v>3</v>
      </c>
    </row>
    <row r="4" spans="1:6" x14ac:dyDescent="0.25">
      <c r="B4" s="16" t="s">
        <v>4</v>
      </c>
      <c r="C4" s="16" t="s">
        <v>5</v>
      </c>
    </row>
    <row r="5" spans="1:6" x14ac:dyDescent="0.25">
      <c r="B5" s="15" t="s">
        <v>6</v>
      </c>
      <c r="C5" s="22" t="e">
        <f>'COST SUMMARY'!#REF!</f>
        <v>#REF!</v>
      </c>
      <c r="D5" s="18" t="e">
        <f>C5/$C$11</f>
        <v>#REF!</v>
      </c>
    </row>
    <row r="6" spans="1:6" x14ac:dyDescent="0.25">
      <c r="B6" s="15" t="s">
        <v>7</v>
      </c>
      <c r="C6" s="22" t="e">
        <f>'COST SUMMARY'!#REF!</f>
        <v>#REF!</v>
      </c>
      <c r="D6" s="18" t="e">
        <f t="shared" ref="D6:D10" si="0">C6/$C$11</f>
        <v>#REF!</v>
      </c>
      <c r="E6" s="16" t="s">
        <v>4</v>
      </c>
      <c r="F6" s="16" t="s">
        <v>8</v>
      </c>
    </row>
    <row r="7" spans="1:6" x14ac:dyDescent="0.25">
      <c r="B7" s="15" t="s">
        <v>9</v>
      </c>
      <c r="C7" s="22" t="e">
        <f>'COST SUMMARY'!#REF!</f>
        <v>#REF!</v>
      </c>
      <c r="D7" s="18" t="e">
        <f>C7/$C$11</f>
        <v>#REF!</v>
      </c>
      <c r="E7" s="15" t="s">
        <v>9</v>
      </c>
      <c r="F7" s="19" t="e">
        <f>C7/C5</f>
        <v>#REF!</v>
      </c>
    </row>
    <row r="8" spans="1:6" x14ac:dyDescent="0.25">
      <c r="B8" s="15" t="s">
        <v>10</v>
      </c>
      <c r="C8" s="22" t="e">
        <f>'COST SUMMARY'!#REF!</f>
        <v>#REF!</v>
      </c>
      <c r="D8" s="18" t="e">
        <f>C8/$C$11</f>
        <v>#REF!</v>
      </c>
      <c r="E8" s="15" t="s">
        <v>10</v>
      </c>
      <c r="F8" s="19" t="e">
        <f>C8/C5</f>
        <v>#REF!</v>
      </c>
    </row>
    <row r="9" spans="1:6" x14ac:dyDescent="0.25">
      <c r="B9" s="15" t="s">
        <v>11</v>
      </c>
      <c r="C9" s="22" t="e">
        <f>'COST SUMMARY'!#REF!</f>
        <v>#REF!</v>
      </c>
      <c r="D9" s="18" t="e">
        <f t="shared" si="0"/>
        <v>#REF!</v>
      </c>
      <c r="E9" s="15" t="s">
        <v>11</v>
      </c>
      <c r="F9" s="19" t="e">
        <f>C9/C6</f>
        <v>#REF!</v>
      </c>
    </row>
    <row r="10" spans="1:6" x14ac:dyDescent="0.25">
      <c r="B10" s="15" t="s">
        <v>12</v>
      </c>
      <c r="C10" s="22" t="e">
        <f>'COST SUMMARY'!#REF!</f>
        <v>#REF!</v>
      </c>
      <c r="D10" s="18" t="e">
        <f t="shared" si="0"/>
        <v>#REF!</v>
      </c>
      <c r="E10" s="15" t="s">
        <v>12</v>
      </c>
      <c r="F10" s="19" t="e">
        <f>C10/SUM(C4:C9)</f>
        <v>#REF!</v>
      </c>
    </row>
    <row r="11" spans="1:6" x14ac:dyDescent="0.25">
      <c r="C11" s="22" t="e">
        <f>SUM(C5:C10)</f>
        <v>#REF!</v>
      </c>
      <c r="E11" s="15" t="s">
        <v>13</v>
      </c>
      <c r="F11" s="18">
        <f>'COST SUMMARY'!L21</f>
        <v>0.05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theme="3" tint="0.39997558519241921"/>
    <pageSetUpPr fitToPage="1"/>
  </sheetPr>
  <dimension ref="A1:T24"/>
  <sheetViews>
    <sheetView view="pageBreakPreview" zoomScale="55" zoomScaleNormal="55" zoomScaleSheetLayoutView="55" workbookViewId="0">
      <selection activeCell="G12" sqref="G12"/>
    </sheetView>
  </sheetViews>
  <sheetFormatPr defaultColWidth="8.90625" defaultRowHeight="15.6" x14ac:dyDescent="0.25"/>
  <cols>
    <col min="1" max="1" width="7.36328125" style="1" customWidth="1"/>
    <col min="2" max="2" width="13.90625" style="4" customWidth="1"/>
    <col min="3" max="3" width="34.6328125" style="4" customWidth="1"/>
    <col min="4" max="4" width="16" style="96" customWidth="1"/>
    <col min="5" max="5" width="14.453125" style="5" bestFit="1" customWidth="1"/>
    <col min="6" max="6" width="15.36328125" style="5" customWidth="1"/>
    <col min="7" max="7" width="12.81640625" style="5" customWidth="1"/>
    <col min="8" max="8" width="7.453125" style="4" customWidth="1"/>
    <col min="9" max="9" width="3.08984375" style="4" customWidth="1"/>
    <col min="10" max="10" width="19.90625" style="6" customWidth="1"/>
    <col min="11" max="11" width="18" style="6" customWidth="1"/>
    <col min="12" max="12" width="15.08984375" style="6" customWidth="1"/>
    <col min="13" max="13" width="20.6328125" style="6" customWidth="1"/>
    <col min="14" max="14" width="14.6328125" style="6" customWidth="1"/>
    <col min="15" max="16" width="13" style="6" customWidth="1"/>
    <col min="17" max="17" width="5.08984375" style="6" customWidth="1"/>
    <col min="18" max="18" width="17.90625" style="6" customWidth="1"/>
    <col min="19" max="19" width="12" style="97" customWidth="1"/>
    <col min="20" max="20" width="8.90625" style="1"/>
    <col min="21" max="21" width="10.36328125" style="1" bestFit="1" customWidth="1"/>
    <col min="22" max="16384" width="8.90625" style="1"/>
  </cols>
  <sheetData>
    <row r="1" spans="1:20" ht="34.950000000000003" customHeight="1" x14ac:dyDescent="0.25">
      <c r="A1" s="341" t="s">
        <v>14</v>
      </c>
      <c r="B1" s="342"/>
      <c r="C1" s="342"/>
      <c r="D1" s="342"/>
      <c r="E1" s="342"/>
      <c r="F1" s="342"/>
      <c r="G1" s="342"/>
      <c r="H1" s="342"/>
      <c r="I1" s="342"/>
      <c r="J1" s="342"/>
      <c r="K1" s="342"/>
      <c r="L1" s="342"/>
      <c r="M1" s="342"/>
      <c r="N1" s="342"/>
      <c r="O1" s="342"/>
      <c r="P1" s="342"/>
      <c r="Q1" s="343"/>
      <c r="R1" s="1"/>
      <c r="S1" s="1"/>
    </row>
    <row r="2" spans="1:20" s="37" customFormat="1" ht="34.950000000000003" customHeight="1" x14ac:dyDescent="0.2">
      <c r="A2" s="344"/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6"/>
      <c r="R2" s="1"/>
      <c r="S2" s="1"/>
      <c r="T2" s="1"/>
    </row>
    <row r="3" spans="1:20" x14ac:dyDescent="0.25">
      <c r="A3" s="86"/>
      <c r="B3" s="147"/>
      <c r="C3" s="147"/>
      <c r="D3" s="255"/>
      <c r="E3" s="121"/>
      <c r="F3" s="121"/>
      <c r="G3" s="121"/>
      <c r="H3" s="147"/>
      <c r="I3" s="147"/>
      <c r="J3" s="256"/>
      <c r="K3" s="256"/>
      <c r="L3" s="256"/>
      <c r="M3" s="256"/>
      <c r="N3" s="256"/>
      <c r="O3" s="256"/>
      <c r="P3" s="256"/>
      <c r="Q3" s="87"/>
      <c r="R3" s="1"/>
      <c r="S3" s="1"/>
    </row>
    <row r="4" spans="1:20" ht="21" x14ac:dyDescent="0.4">
      <c r="A4" s="86"/>
      <c r="B4" s="147"/>
      <c r="C4" s="257" t="s">
        <v>15</v>
      </c>
      <c r="D4" s="134">
        <f>'BUILDING 1'!K4</f>
        <v>46076</v>
      </c>
      <c r="E4" s="121"/>
      <c r="F4" s="121"/>
      <c r="G4" s="121"/>
      <c r="H4" s="147"/>
      <c r="I4" s="147"/>
      <c r="J4" s="119"/>
      <c r="K4" s="257" t="s">
        <v>16</v>
      </c>
      <c r="L4" s="258" t="str">
        <f>'BUILDING 1'!K7</f>
        <v>Private (Non-Prevailing wage)</v>
      </c>
      <c r="M4" s="119"/>
      <c r="N4" s="119"/>
      <c r="O4" s="119"/>
      <c r="P4" s="119"/>
      <c r="Q4" s="88"/>
      <c r="R4" s="1"/>
      <c r="S4" s="1"/>
    </row>
    <row r="5" spans="1:20" ht="21" x14ac:dyDescent="0.4">
      <c r="A5" s="86"/>
      <c r="B5" s="147"/>
      <c r="C5" s="257" t="s">
        <v>17</v>
      </c>
      <c r="D5" s="259" t="str">
        <f>'BUILDING 1'!K5</f>
        <v>Cline Mission Propities</v>
      </c>
      <c r="E5" s="121"/>
      <c r="F5" s="121"/>
      <c r="G5" s="121"/>
      <c r="H5" s="147"/>
      <c r="I5" s="147"/>
      <c r="J5" s="119"/>
      <c r="K5" s="257" t="s">
        <v>18</v>
      </c>
      <c r="L5" s="260" t="s">
        <v>717</v>
      </c>
      <c r="M5" s="260"/>
      <c r="N5" s="260"/>
      <c r="O5" s="260"/>
      <c r="P5" s="260"/>
      <c r="Q5" s="88"/>
      <c r="R5" s="1"/>
      <c r="S5" s="1"/>
    </row>
    <row r="6" spans="1:20" ht="20.25" customHeight="1" x14ac:dyDescent="0.4">
      <c r="A6" s="86"/>
      <c r="B6" s="147"/>
      <c r="C6" s="261" t="s">
        <v>19</v>
      </c>
      <c r="D6" s="349" t="str">
        <f>'BUILDING 1'!K6</f>
        <v>Stumptown Rd, Huntersville</v>
      </c>
      <c r="E6" s="349"/>
      <c r="F6" s="349"/>
      <c r="G6" s="349"/>
      <c r="H6" s="349"/>
      <c r="I6" s="349"/>
      <c r="J6" s="119"/>
      <c r="K6" s="79" t="s">
        <v>20</v>
      </c>
      <c r="L6" s="89">
        <f>SUM(D10:D20)</f>
        <v>4144980.5722214933</v>
      </c>
      <c r="M6" s="260"/>
      <c r="N6" s="260"/>
      <c r="O6" s="260"/>
      <c r="P6" s="260"/>
      <c r="Q6" s="88"/>
      <c r="R6" s="1"/>
      <c r="S6" s="1"/>
    </row>
    <row r="7" spans="1:20" ht="21" x14ac:dyDescent="0.4">
      <c r="A7" s="86"/>
      <c r="B7" s="147"/>
      <c r="C7" s="257"/>
      <c r="D7" s="349"/>
      <c r="E7" s="349"/>
      <c r="F7" s="349"/>
      <c r="G7" s="349"/>
      <c r="H7" s="349"/>
      <c r="I7" s="349"/>
      <c r="J7" s="119"/>
      <c r="K7" s="119"/>
      <c r="L7" s="119"/>
      <c r="M7" s="119"/>
      <c r="N7" s="119"/>
      <c r="O7" s="119"/>
      <c r="P7" s="119"/>
      <c r="Q7" s="87"/>
      <c r="R7" s="1"/>
      <c r="S7" s="1"/>
    </row>
    <row r="8" spans="1:20" ht="16.5" customHeight="1" x14ac:dyDescent="0.25">
      <c r="A8" s="86"/>
      <c r="B8" s="147"/>
      <c r="C8" s="147"/>
      <c r="D8" s="255"/>
      <c r="E8" s="121"/>
      <c r="F8" s="121"/>
      <c r="G8" s="121"/>
      <c r="H8" s="147"/>
      <c r="I8" s="147"/>
      <c r="J8" s="256"/>
      <c r="K8" s="256"/>
      <c r="L8" s="256"/>
      <c r="M8" s="256"/>
      <c r="N8" s="256"/>
      <c r="O8" s="119"/>
      <c r="P8" s="119"/>
      <c r="Q8" s="87"/>
      <c r="R8" s="1"/>
      <c r="S8" s="1"/>
    </row>
    <row r="9" spans="1:20" ht="49.2" customHeight="1" x14ac:dyDescent="0.25">
      <c r="A9" s="86"/>
      <c r="B9" s="348" t="s">
        <v>21</v>
      </c>
      <c r="C9" s="348"/>
      <c r="D9" s="269" t="s">
        <v>22</v>
      </c>
      <c r="E9" s="262"/>
      <c r="F9" s="121"/>
      <c r="G9" s="121"/>
      <c r="H9" s="119"/>
      <c r="I9" s="119"/>
      <c r="J9" s="331" t="s">
        <v>23</v>
      </c>
      <c r="K9" s="332"/>
      <c r="L9" s="333"/>
      <c r="M9" s="263"/>
      <c r="N9" s="263"/>
      <c r="O9" s="119"/>
      <c r="P9" s="119"/>
      <c r="Q9" s="87"/>
      <c r="R9" s="1"/>
      <c r="S9" s="1"/>
    </row>
    <row r="10" spans="1:20" s="90" customFormat="1" ht="24" customHeight="1" x14ac:dyDescent="0.25">
      <c r="A10" s="91"/>
      <c r="B10" s="350" t="s">
        <v>825</v>
      </c>
      <c r="C10" s="350"/>
      <c r="D10" s="270">
        <f>'BUILDING 1'!E9</f>
        <v>642092.59744229168</v>
      </c>
      <c r="E10" s="264"/>
      <c r="F10" s="265"/>
      <c r="G10" s="266"/>
      <c r="H10" s="266"/>
      <c r="I10" s="266"/>
      <c r="J10" s="334"/>
      <c r="K10" s="335"/>
      <c r="L10" s="336"/>
      <c r="M10" s="265"/>
      <c r="N10" s="265"/>
      <c r="O10" s="119"/>
      <c r="P10" s="119"/>
      <c r="Q10" s="87"/>
      <c r="R10" s="1"/>
      <c r="S10" s="1"/>
      <c r="T10" s="1"/>
    </row>
    <row r="11" spans="1:20" s="90" customFormat="1" ht="24" customHeight="1" x14ac:dyDescent="0.25">
      <c r="A11" s="91"/>
      <c r="B11" s="329" t="s">
        <v>826</v>
      </c>
      <c r="C11" s="330"/>
      <c r="D11" s="270">
        <f>'BUILDING 2'!E9</f>
        <v>1415688.4898055526</v>
      </c>
      <c r="E11" s="264"/>
      <c r="F11" s="265"/>
      <c r="G11" s="266"/>
      <c r="H11" s="266"/>
      <c r="I11" s="266"/>
      <c r="J11" s="334"/>
      <c r="K11" s="335"/>
      <c r="L11" s="336"/>
      <c r="M11" s="265"/>
      <c r="N11" s="265"/>
      <c r="O11" s="119"/>
      <c r="P11" s="119"/>
      <c r="Q11" s="87"/>
      <c r="R11" s="1"/>
      <c r="S11" s="1"/>
      <c r="T11" s="1"/>
    </row>
    <row r="12" spans="1:20" s="90" customFormat="1" ht="24" customHeight="1" x14ac:dyDescent="0.25">
      <c r="A12" s="91"/>
      <c r="B12" s="329" t="s">
        <v>827</v>
      </c>
      <c r="C12" s="330"/>
      <c r="D12" s="270">
        <f>'BUILDING 3'!E9</f>
        <v>656972.43524577608</v>
      </c>
      <c r="E12" s="264"/>
      <c r="F12" s="265"/>
      <c r="G12" s="266"/>
      <c r="H12" s="266"/>
      <c r="I12" s="266"/>
      <c r="J12" s="334"/>
      <c r="K12" s="335"/>
      <c r="L12" s="336"/>
      <c r="M12" s="265"/>
      <c r="N12" s="265"/>
      <c r="O12" s="119"/>
      <c r="P12" s="119"/>
      <c r="Q12" s="87"/>
      <c r="R12" s="1"/>
      <c r="S12" s="1"/>
      <c r="T12" s="1"/>
    </row>
    <row r="13" spans="1:20" s="90" customFormat="1" ht="24" customHeight="1" x14ac:dyDescent="0.25">
      <c r="A13" s="91"/>
      <c r="B13" s="329" t="s">
        <v>828</v>
      </c>
      <c r="C13" s="330"/>
      <c r="D13" s="270">
        <f>'BUILDING 4'!E9</f>
        <v>125025.6030019489</v>
      </c>
      <c r="E13" s="264"/>
      <c r="F13" s="265"/>
      <c r="G13" s="266"/>
      <c r="H13" s="266"/>
      <c r="I13" s="266"/>
      <c r="J13" s="334"/>
      <c r="K13" s="335"/>
      <c r="L13" s="336"/>
      <c r="M13" s="265"/>
      <c r="N13" s="265"/>
      <c r="O13" s="119"/>
      <c r="P13" s="119"/>
      <c r="Q13" s="87"/>
      <c r="R13" s="1"/>
      <c r="S13" s="1"/>
      <c r="T13" s="1"/>
    </row>
    <row r="14" spans="1:20" s="90" customFormat="1" ht="24" customHeight="1" x14ac:dyDescent="0.25">
      <c r="A14" s="91"/>
      <c r="B14" s="329" t="s">
        <v>829</v>
      </c>
      <c r="C14" s="330"/>
      <c r="D14" s="270">
        <f>'BUILDING 5'!E9</f>
        <v>125025.6030019489</v>
      </c>
      <c r="E14" s="264"/>
      <c r="F14" s="265"/>
      <c r="G14" s="266"/>
      <c r="H14" s="266"/>
      <c r="I14" s="266"/>
      <c r="J14" s="334"/>
      <c r="K14" s="335"/>
      <c r="L14" s="336"/>
      <c r="M14" s="265"/>
      <c r="N14" s="265"/>
      <c r="O14" s="119"/>
      <c r="P14" s="119"/>
      <c r="Q14" s="87"/>
      <c r="R14" s="1"/>
      <c r="S14" s="1"/>
      <c r="T14" s="1"/>
    </row>
    <row r="15" spans="1:20" s="90" customFormat="1" ht="24" customHeight="1" x14ac:dyDescent="0.25">
      <c r="A15" s="91"/>
      <c r="B15" s="329" t="s">
        <v>830</v>
      </c>
      <c r="C15" s="330"/>
      <c r="D15" s="270">
        <f>'BUILDING 6'!E9</f>
        <v>125025.6030019489</v>
      </c>
      <c r="E15" s="264"/>
      <c r="F15" s="265"/>
      <c r="G15" s="266"/>
      <c r="H15" s="266"/>
      <c r="I15" s="266"/>
      <c r="J15" s="334"/>
      <c r="K15" s="335"/>
      <c r="L15" s="336"/>
      <c r="M15" s="265"/>
      <c r="N15" s="265"/>
      <c r="O15" s="119"/>
      <c r="P15" s="119"/>
      <c r="Q15" s="87"/>
      <c r="R15" s="1"/>
      <c r="S15" s="1"/>
      <c r="T15" s="1"/>
    </row>
    <row r="16" spans="1:20" s="90" customFormat="1" ht="24" customHeight="1" x14ac:dyDescent="0.25">
      <c r="A16" s="91"/>
      <c r="B16" s="329" t="s">
        <v>831</v>
      </c>
      <c r="C16" s="330"/>
      <c r="D16" s="270">
        <f>'BUILDING 7'!E9</f>
        <v>125025.6030019489</v>
      </c>
      <c r="E16" s="264"/>
      <c r="F16" s="265"/>
      <c r="G16" s="266"/>
      <c r="H16" s="266"/>
      <c r="I16" s="266"/>
      <c r="J16" s="334"/>
      <c r="K16" s="335"/>
      <c r="L16" s="336"/>
      <c r="M16" s="265"/>
      <c r="N16" s="265"/>
      <c r="O16" s="119"/>
      <c r="P16" s="119"/>
      <c r="Q16" s="87"/>
      <c r="R16" s="1"/>
      <c r="S16" s="1"/>
      <c r="T16" s="1"/>
    </row>
    <row r="17" spans="1:20" s="90" customFormat="1" ht="24" customHeight="1" x14ac:dyDescent="0.25">
      <c r="A17" s="91"/>
      <c r="B17" s="329" t="s">
        <v>832</v>
      </c>
      <c r="C17" s="330"/>
      <c r="D17" s="270">
        <f>'BUILDING 8'!E9</f>
        <v>897667.76949706115</v>
      </c>
      <c r="E17" s="264"/>
      <c r="F17" s="265"/>
      <c r="G17" s="266"/>
      <c r="H17" s="266"/>
      <c r="I17" s="266"/>
      <c r="J17" s="334"/>
      <c r="K17" s="335"/>
      <c r="L17" s="336"/>
      <c r="M17" s="265"/>
      <c r="N17" s="265"/>
      <c r="O17" s="119"/>
      <c r="P17" s="119"/>
      <c r="Q17" s="87"/>
      <c r="R17" s="1"/>
      <c r="S17" s="1"/>
      <c r="T17" s="1"/>
    </row>
    <row r="18" spans="1:20" s="90" customFormat="1" ht="24" customHeight="1" x14ac:dyDescent="0.25">
      <c r="A18" s="91"/>
      <c r="B18" s="329" t="s">
        <v>833</v>
      </c>
      <c r="C18" s="330"/>
      <c r="D18" s="270">
        <f>'MAIL KIKOSK'!E9</f>
        <v>5678.3701413976578</v>
      </c>
      <c r="E18" s="264"/>
      <c r="F18" s="265"/>
      <c r="G18" s="266"/>
      <c r="H18" s="266"/>
      <c r="I18" s="266"/>
      <c r="J18" s="334"/>
      <c r="K18" s="335"/>
      <c r="L18" s="336"/>
      <c r="M18" s="265"/>
      <c r="N18" s="265"/>
      <c r="O18" s="119"/>
      <c r="P18" s="119"/>
      <c r="Q18" s="87"/>
      <c r="R18" s="1"/>
      <c r="S18" s="1"/>
      <c r="T18" s="1"/>
    </row>
    <row r="19" spans="1:20" s="90" customFormat="1" ht="24" customHeight="1" x14ac:dyDescent="0.25">
      <c r="A19" s="91"/>
      <c r="B19" s="329" t="s">
        <v>834</v>
      </c>
      <c r="C19" s="330"/>
      <c r="D19" s="270">
        <f>'POOL HOUSE'!E9</f>
        <v>6234.1301842360645</v>
      </c>
      <c r="E19" s="264"/>
      <c r="F19" s="265"/>
      <c r="G19" s="266"/>
      <c r="H19" s="266"/>
      <c r="I19" s="266"/>
      <c r="J19" s="334"/>
      <c r="K19" s="335"/>
      <c r="L19" s="336"/>
      <c r="M19" s="265"/>
      <c r="N19" s="265"/>
      <c r="O19" s="119"/>
      <c r="P19" s="119"/>
      <c r="Q19" s="87"/>
      <c r="R19" s="1"/>
      <c r="S19" s="1"/>
      <c r="T19" s="1"/>
    </row>
    <row r="20" spans="1:20" s="90" customFormat="1" ht="24" customHeight="1" x14ac:dyDescent="0.25">
      <c r="A20" s="91"/>
      <c r="B20" s="329" t="s">
        <v>835</v>
      </c>
      <c r="C20" s="330"/>
      <c r="D20" s="270">
        <f>SITE!E9</f>
        <v>20544.367897382454</v>
      </c>
      <c r="E20" s="264"/>
      <c r="F20" s="265"/>
      <c r="G20" s="266"/>
      <c r="H20" s="266"/>
      <c r="I20" s="266"/>
      <c r="J20" s="337"/>
      <c r="K20" s="338"/>
      <c r="L20" s="339"/>
      <c r="M20" s="265"/>
      <c r="N20" s="265"/>
      <c r="O20" s="119"/>
      <c r="P20" s="119"/>
      <c r="Q20" s="87"/>
      <c r="R20" s="1"/>
      <c r="S20" s="1"/>
      <c r="T20" s="1"/>
    </row>
    <row r="21" spans="1:20" s="90" customFormat="1" ht="29.4" customHeight="1" x14ac:dyDescent="0.25">
      <c r="A21" s="91"/>
      <c r="B21" s="347" t="s">
        <v>24</v>
      </c>
      <c r="C21" s="347"/>
      <c r="D21" s="347"/>
      <c r="E21" s="262"/>
      <c r="F21" s="266"/>
      <c r="G21" s="266"/>
      <c r="H21" s="266"/>
      <c r="I21" s="266"/>
      <c r="J21" s="351" t="s">
        <v>25</v>
      </c>
      <c r="K21" s="351"/>
      <c r="L21" s="271">
        <v>0.05</v>
      </c>
      <c r="M21" s="265"/>
      <c r="N21" s="265"/>
      <c r="O21" s="119"/>
      <c r="P21" s="119"/>
      <c r="Q21" s="87"/>
      <c r="R21" s="1"/>
      <c r="S21" s="1"/>
      <c r="T21" s="1"/>
    </row>
    <row r="22" spans="1:20" ht="30" customHeight="1" x14ac:dyDescent="0.25">
      <c r="A22" s="86"/>
      <c r="B22" s="340"/>
      <c r="C22" s="340"/>
      <c r="D22" s="92"/>
      <c r="E22" s="93"/>
      <c r="F22" s="267"/>
      <c r="G22" s="267"/>
      <c r="H22" s="147"/>
      <c r="I22" s="147"/>
      <c r="J22" s="268"/>
      <c r="K22" s="268"/>
      <c r="L22" s="268"/>
      <c r="M22" s="119"/>
      <c r="N22" s="119"/>
      <c r="O22" s="119"/>
      <c r="P22" s="119"/>
      <c r="Q22" s="87"/>
      <c r="R22" s="1"/>
      <c r="S22" s="1"/>
    </row>
    <row r="23" spans="1:20" x14ac:dyDescent="0.25">
      <c r="R23" s="1"/>
      <c r="S23" s="1"/>
    </row>
    <row r="24" spans="1:20" x14ac:dyDescent="0.25">
      <c r="R24" s="1"/>
      <c r="S24" s="1"/>
    </row>
  </sheetData>
  <mergeCells count="18">
    <mergeCell ref="B22:C22"/>
    <mergeCell ref="A1:Q2"/>
    <mergeCell ref="B21:D21"/>
    <mergeCell ref="B9:C9"/>
    <mergeCell ref="D6:I7"/>
    <mergeCell ref="B10:C10"/>
    <mergeCell ref="J21:K21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J9:L20"/>
  </mergeCells>
  <phoneticPr fontId="48" type="noConversion"/>
  <conditionalFormatting sqref="D10:D20">
    <cfRule type="expression" dxfId="1" priority="6" stopIfTrue="1">
      <formula>#REF!&lt;&gt;SUM(#REF!)</formula>
    </cfRule>
  </conditionalFormatting>
  <conditionalFormatting sqref="D22">
    <cfRule type="expression" dxfId="0" priority="1" stopIfTrue="1">
      <formula>#REF!&lt;&gt;SUM(#REF!)</formula>
    </cfRule>
  </conditionalFormatting>
  <hyperlinks>
    <hyperlink ref="B21" location="'HOURLY RATES'!A1" display="Hourly Rates" xr:uid="{00000000-0004-0000-0200-000000000000}"/>
    <hyperlink ref="B10:C10" location="'BASE BID'!A1" display="Base bid" xr:uid="{00000000-0004-0000-0200-000002000000}"/>
  </hyperlinks>
  <printOptions horizontalCentered="1"/>
  <pageMargins left="0.25" right="0.25" top="0.75" bottom="0.75" header="0.3" footer="0.3"/>
  <pageSetup paperSize="9" scale="31" fitToHeight="0" orientation="portrait" r:id="rId1"/>
  <headerFooter>
    <oddFooter>&amp;C&amp;P of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>
    <tabColor theme="0"/>
    <pageSetUpPr fitToPage="1"/>
  </sheetPr>
  <dimension ref="B1:M126"/>
  <sheetViews>
    <sheetView zoomScale="70" zoomScaleNormal="70" workbookViewId="0">
      <selection activeCell="F13" sqref="F13"/>
    </sheetView>
  </sheetViews>
  <sheetFormatPr defaultColWidth="8.81640625" defaultRowHeight="15.6" x14ac:dyDescent="0.3"/>
  <cols>
    <col min="1" max="1" width="8.81640625" style="80"/>
    <col min="2" max="2" width="11.08984375" style="80" customWidth="1"/>
    <col min="3" max="3" width="33.6328125" style="80" customWidth="1"/>
    <col min="4" max="4" width="14.54296875" style="80" bestFit="1" customWidth="1"/>
    <col min="5" max="16384" width="8.81640625" style="80"/>
  </cols>
  <sheetData>
    <row r="1" spans="2:13" ht="25.5" customHeight="1" x14ac:dyDescent="0.3">
      <c r="B1" s="272"/>
      <c r="C1" s="273"/>
      <c r="D1" s="273"/>
      <c r="E1" s="273"/>
      <c r="F1" s="273"/>
      <c r="G1" s="273"/>
      <c r="H1" s="273"/>
      <c r="I1" s="273"/>
      <c r="J1" s="274"/>
      <c r="K1" s="274"/>
      <c r="L1" s="274"/>
      <c r="M1" s="275"/>
    </row>
    <row r="2" spans="2:13" ht="16.5" customHeight="1" x14ac:dyDescent="0.3">
      <c r="B2" s="352" t="s">
        <v>234</v>
      </c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4"/>
    </row>
    <row r="3" spans="2:13" ht="18" customHeight="1" thickBot="1" x14ac:dyDescent="0.35">
      <c r="B3" s="355"/>
      <c r="C3" s="356"/>
      <c r="D3" s="356"/>
      <c r="E3" s="356"/>
      <c r="F3" s="356"/>
      <c r="G3" s="356"/>
      <c r="H3" s="356"/>
      <c r="I3" s="356"/>
      <c r="J3" s="356"/>
      <c r="K3" s="356"/>
      <c r="L3" s="356"/>
      <c r="M3" s="357"/>
    </row>
    <row r="4" spans="2:13" ht="24.75" customHeight="1" thickBot="1" x14ac:dyDescent="0.35">
      <c r="B4" s="358" t="s">
        <v>235</v>
      </c>
      <c r="C4" s="359"/>
      <c r="D4" s="359"/>
      <c r="E4" s="360"/>
      <c r="F4" s="360"/>
      <c r="G4" s="360"/>
      <c r="H4" s="360"/>
      <c r="I4" s="360"/>
      <c r="J4" s="360"/>
      <c r="K4" s="360"/>
      <c r="L4" s="360"/>
      <c r="M4" s="361"/>
    </row>
    <row r="5" spans="2:13" ht="42" customHeight="1" thickBot="1" x14ac:dyDescent="0.35">
      <c r="B5" s="64" t="s">
        <v>236</v>
      </c>
      <c r="C5" s="64" t="s">
        <v>237</v>
      </c>
      <c r="D5" s="64" t="s">
        <v>238</v>
      </c>
      <c r="M5" s="241"/>
    </row>
    <row r="6" spans="2:13" ht="16.2" thickBot="1" x14ac:dyDescent="0.35">
      <c r="B6" s="11" t="s">
        <v>239</v>
      </c>
      <c r="C6" s="11" t="s">
        <v>27</v>
      </c>
      <c r="D6" s="118">
        <v>54</v>
      </c>
      <c r="F6" s="362" t="s">
        <v>172</v>
      </c>
      <c r="G6" s="363"/>
      <c r="H6" s="363"/>
      <c r="I6" s="363"/>
      <c r="J6" s="364"/>
      <c r="M6" s="241"/>
    </row>
    <row r="7" spans="2:13" x14ac:dyDescent="0.3">
      <c r="B7" s="10" t="s">
        <v>37</v>
      </c>
      <c r="C7" s="11" t="s">
        <v>58</v>
      </c>
      <c r="D7" s="106">
        <v>10</v>
      </c>
      <c r="M7" s="241"/>
    </row>
    <row r="8" spans="2:13" x14ac:dyDescent="0.3">
      <c r="B8" s="10" t="s">
        <v>35</v>
      </c>
      <c r="C8" s="11" t="s">
        <v>59</v>
      </c>
      <c r="D8" s="106">
        <v>10</v>
      </c>
      <c r="M8" s="241"/>
    </row>
    <row r="9" spans="2:13" x14ac:dyDescent="0.3">
      <c r="B9" s="10" t="s">
        <v>38</v>
      </c>
      <c r="C9" s="11" t="s">
        <v>60</v>
      </c>
      <c r="D9" s="106">
        <v>10</v>
      </c>
      <c r="M9" s="241"/>
    </row>
    <row r="10" spans="2:13" x14ac:dyDescent="0.3">
      <c r="B10" s="10" t="s">
        <v>28</v>
      </c>
      <c r="C10" s="11" t="s">
        <v>61</v>
      </c>
      <c r="D10" s="106">
        <v>10</v>
      </c>
      <c r="M10" s="241"/>
    </row>
    <row r="11" spans="2:13" x14ac:dyDescent="0.3">
      <c r="B11" s="10" t="s">
        <v>37</v>
      </c>
      <c r="C11" s="11" t="s">
        <v>62</v>
      </c>
      <c r="D11" s="106">
        <v>10</v>
      </c>
      <c r="M11" s="241"/>
    </row>
    <row r="12" spans="2:13" x14ac:dyDescent="0.3">
      <c r="B12" s="10" t="s">
        <v>40</v>
      </c>
      <c r="C12" s="11" t="s">
        <v>63</v>
      </c>
      <c r="D12" s="106">
        <v>10</v>
      </c>
      <c r="M12" s="241"/>
    </row>
    <row r="13" spans="2:13" x14ac:dyDescent="0.3">
      <c r="B13" s="10" t="s">
        <v>32</v>
      </c>
      <c r="C13" s="11" t="s">
        <v>64</v>
      </c>
      <c r="D13" s="106">
        <v>10</v>
      </c>
      <c r="M13" s="241"/>
    </row>
    <row r="14" spans="2:13" x14ac:dyDescent="0.3">
      <c r="B14" s="10" t="s">
        <v>35</v>
      </c>
      <c r="C14" s="11" t="s">
        <v>65</v>
      </c>
      <c r="D14" s="106">
        <v>10</v>
      </c>
      <c r="M14" s="241"/>
    </row>
    <row r="15" spans="2:13" x14ac:dyDescent="0.3">
      <c r="B15" s="10" t="s">
        <v>33</v>
      </c>
      <c r="C15" s="11" t="s">
        <v>66</v>
      </c>
      <c r="D15" s="106">
        <v>10</v>
      </c>
      <c r="M15" s="241"/>
    </row>
    <row r="16" spans="2:13" x14ac:dyDescent="0.3">
      <c r="B16" s="10" t="s">
        <v>32</v>
      </c>
      <c r="C16" s="11" t="s">
        <v>67</v>
      </c>
      <c r="D16" s="106">
        <v>10</v>
      </c>
      <c r="M16" s="241"/>
    </row>
    <row r="17" spans="2:13" x14ac:dyDescent="0.3">
      <c r="B17" s="10" t="s">
        <v>32</v>
      </c>
      <c r="C17" s="11" t="s">
        <v>68</v>
      </c>
      <c r="D17" s="106">
        <v>10</v>
      </c>
      <c r="M17" s="241"/>
    </row>
    <row r="18" spans="2:13" x14ac:dyDescent="0.3">
      <c r="B18" s="10" t="s">
        <v>35</v>
      </c>
      <c r="C18" s="11" t="s">
        <v>69</v>
      </c>
      <c r="D18" s="106">
        <v>10</v>
      </c>
      <c r="M18" s="241"/>
    </row>
    <row r="19" spans="2:13" x14ac:dyDescent="0.3">
      <c r="B19" s="10" t="s">
        <v>50</v>
      </c>
      <c r="C19" s="11" t="s">
        <v>70</v>
      </c>
      <c r="D19" s="106">
        <v>10</v>
      </c>
      <c r="M19" s="241"/>
    </row>
    <row r="20" spans="2:13" x14ac:dyDescent="0.3">
      <c r="B20" s="10" t="s">
        <v>49</v>
      </c>
      <c r="C20" s="11" t="s">
        <v>71</v>
      </c>
      <c r="D20" s="106">
        <v>10</v>
      </c>
      <c r="M20" s="241"/>
    </row>
    <row r="21" spans="2:13" x14ac:dyDescent="0.3">
      <c r="B21" s="10" t="s">
        <v>29</v>
      </c>
      <c r="C21" s="11" t="s">
        <v>72</v>
      </c>
      <c r="D21" s="106">
        <v>10</v>
      </c>
      <c r="M21" s="241"/>
    </row>
    <row r="22" spans="2:13" x14ac:dyDescent="0.3">
      <c r="B22" s="10" t="s">
        <v>40</v>
      </c>
      <c r="C22" s="11" t="s">
        <v>73</v>
      </c>
      <c r="D22" s="106">
        <v>10</v>
      </c>
      <c r="M22" s="241"/>
    </row>
    <row r="23" spans="2:13" x14ac:dyDescent="0.3">
      <c r="B23" s="10" t="s">
        <v>34</v>
      </c>
      <c r="C23" s="11" t="s">
        <v>74</v>
      </c>
      <c r="D23" s="106">
        <v>10</v>
      </c>
      <c r="M23" s="241"/>
    </row>
    <row r="24" spans="2:13" x14ac:dyDescent="0.3">
      <c r="B24" s="10" t="s">
        <v>28</v>
      </c>
      <c r="C24" s="11" t="s">
        <v>75</v>
      </c>
      <c r="D24" s="106">
        <v>10</v>
      </c>
      <c r="M24" s="241"/>
    </row>
    <row r="25" spans="2:13" x14ac:dyDescent="0.3">
      <c r="B25" s="10" t="s">
        <v>28</v>
      </c>
      <c r="C25" s="11" t="s">
        <v>76</v>
      </c>
      <c r="D25" s="106">
        <v>10</v>
      </c>
      <c r="M25" s="241"/>
    </row>
    <row r="26" spans="2:13" x14ac:dyDescent="0.3">
      <c r="B26" s="10" t="s">
        <v>50</v>
      </c>
      <c r="C26" s="11" t="s">
        <v>77</v>
      </c>
      <c r="D26" s="106">
        <v>10</v>
      </c>
      <c r="M26" s="241"/>
    </row>
    <row r="27" spans="2:13" x14ac:dyDescent="0.3">
      <c r="B27" s="10" t="s">
        <v>34</v>
      </c>
      <c r="C27" s="11" t="s">
        <v>78</v>
      </c>
      <c r="D27" s="106">
        <v>10</v>
      </c>
      <c r="M27" s="241"/>
    </row>
    <row r="28" spans="2:13" x14ac:dyDescent="0.3">
      <c r="B28" s="10" t="s">
        <v>35</v>
      </c>
      <c r="C28" s="11" t="s">
        <v>79</v>
      </c>
      <c r="D28" s="106">
        <v>10</v>
      </c>
      <c r="M28" s="241"/>
    </row>
    <row r="29" spans="2:13" x14ac:dyDescent="0.3">
      <c r="B29" s="10" t="s">
        <v>50</v>
      </c>
      <c r="C29" s="11" t="s">
        <v>80</v>
      </c>
      <c r="D29" s="106">
        <v>10</v>
      </c>
      <c r="M29" s="241"/>
    </row>
    <row r="30" spans="2:13" x14ac:dyDescent="0.3">
      <c r="B30" s="10" t="s">
        <v>48</v>
      </c>
      <c r="C30" s="11" t="s">
        <v>81</v>
      </c>
      <c r="D30" s="106">
        <v>10</v>
      </c>
      <c r="M30" s="241"/>
    </row>
    <row r="31" spans="2:13" x14ac:dyDescent="0.3">
      <c r="B31" s="10" t="s">
        <v>240</v>
      </c>
      <c r="C31" s="11" t="s">
        <v>82</v>
      </c>
      <c r="D31" s="106">
        <v>10</v>
      </c>
      <c r="M31" s="241"/>
    </row>
    <row r="32" spans="2:13" x14ac:dyDescent="0.3">
      <c r="B32" s="10" t="s">
        <v>43</v>
      </c>
      <c r="C32" s="11" t="s">
        <v>83</v>
      </c>
      <c r="D32" s="106">
        <v>10</v>
      </c>
      <c r="M32" s="241"/>
    </row>
    <row r="33" spans="2:13" x14ac:dyDescent="0.3">
      <c r="B33" s="10" t="s">
        <v>38</v>
      </c>
      <c r="C33" s="11" t="s">
        <v>39</v>
      </c>
      <c r="D33" s="106">
        <v>10</v>
      </c>
      <c r="M33" s="241"/>
    </row>
    <row r="34" spans="2:13" x14ac:dyDescent="0.3">
      <c r="B34" s="10" t="s">
        <v>50</v>
      </c>
      <c r="C34" s="11" t="s">
        <v>84</v>
      </c>
      <c r="D34" s="106">
        <v>10</v>
      </c>
      <c r="M34" s="241"/>
    </row>
    <row r="35" spans="2:13" x14ac:dyDescent="0.3">
      <c r="B35" s="10" t="s">
        <v>51</v>
      </c>
      <c r="C35" s="11" t="s">
        <v>85</v>
      </c>
      <c r="D35" s="106">
        <v>10</v>
      </c>
      <c r="M35" s="241"/>
    </row>
    <row r="36" spans="2:13" x14ac:dyDescent="0.3">
      <c r="B36" s="10" t="s">
        <v>35</v>
      </c>
      <c r="C36" s="11" t="s">
        <v>86</v>
      </c>
      <c r="D36" s="107">
        <v>54</v>
      </c>
      <c r="M36" s="241"/>
    </row>
    <row r="37" spans="2:13" x14ac:dyDescent="0.3">
      <c r="B37" s="10" t="s">
        <v>37</v>
      </c>
      <c r="C37" s="11" t="s">
        <v>87</v>
      </c>
      <c r="D37" s="106">
        <v>10</v>
      </c>
      <c r="M37" s="241"/>
    </row>
    <row r="38" spans="2:13" x14ac:dyDescent="0.3">
      <c r="B38" s="10" t="s">
        <v>51</v>
      </c>
      <c r="C38" s="11" t="s">
        <v>88</v>
      </c>
      <c r="D38" s="106">
        <v>10</v>
      </c>
      <c r="M38" s="241"/>
    </row>
    <row r="39" spans="2:13" x14ac:dyDescent="0.3">
      <c r="B39" s="10" t="s">
        <v>51</v>
      </c>
      <c r="C39" s="11" t="s">
        <v>89</v>
      </c>
      <c r="D39" s="106">
        <v>10</v>
      </c>
      <c r="M39" s="241"/>
    </row>
    <row r="40" spans="2:13" x14ac:dyDescent="0.3">
      <c r="B40" s="10" t="s">
        <v>51</v>
      </c>
      <c r="C40" s="11" t="s">
        <v>90</v>
      </c>
      <c r="D40" s="106">
        <v>10</v>
      </c>
      <c r="M40" s="241"/>
    </row>
    <row r="41" spans="2:13" x14ac:dyDescent="0.3">
      <c r="B41" s="10" t="s">
        <v>32</v>
      </c>
      <c r="C41" s="11" t="s">
        <v>91</v>
      </c>
      <c r="D41" s="106">
        <v>10</v>
      </c>
      <c r="M41" s="241"/>
    </row>
    <row r="42" spans="2:13" x14ac:dyDescent="0.3">
      <c r="B42" s="10" t="s">
        <v>35</v>
      </c>
      <c r="C42" s="11" t="s">
        <v>92</v>
      </c>
      <c r="D42" s="106">
        <v>10</v>
      </c>
      <c r="M42" s="241"/>
    </row>
    <row r="43" spans="2:13" x14ac:dyDescent="0.3">
      <c r="B43" s="10" t="s">
        <v>44</v>
      </c>
      <c r="C43" s="11" t="s">
        <v>45</v>
      </c>
      <c r="D43" s="106">
        <v>10</v>
      </c>
      <c r="M43" s="241"/>
    </row>
    <row r="44" spans="2:13" x14ac:dyDescent="0.3">
      <c r="B44" s="10" t="s">
        <v>37</v>
      </c>
      <c r="C44" s="11" t="s">
        <v>93</v>
      </c>
      <c r="D44" s="106">
        <v>10</v>
      </c>
      <c r="M44" s="241"/>
    </row>
    <row r="45" spans="2:13" x14ac:dyDescent="0.3">
      <c r="B45" s="10" t="s">
        <v>35</v>
      </c>
      <c r="C45" s="11" t="s">
        <v>94</v>
      </c>
      <c r="D45" s="107">
        <v>54</v>
      </c>
      <c r="M45" s="241"/>
    </row>
    <row r="46" spans="2:13" x14ac:dyDescent="0.3">
      <c r="B46" s="10" t="s">
        <v>37</v>
      </c>
      <c r="C46" s="11" t="s">
        <v>95</v>
      </c>
      <c r="D46" s="106">
        <v>10</v>
      </c>
      <c r="M46" s="241"/>
    </row>
    <row r="47" spans="2:13" x14ac:dyDescent="0.3">
      <c r="B47" s="10" t="s">
        <v>31</v>
      </c>
      <c r="C47" s="11" t="s">
        <v>96</v>
      </c>
      <c r="D47" s="106">
        <v>10</v>
      </c>
      <c r="M47" s="241"/>
    </row>
    <row r="48" spans="2:13" x14ac:dyDescent="0.3">
      <c r="B48" s="10" t="s">
        <v>35</v>
      </c>
      <c r="C48" s="11" t="s">
        <v>97</v>
      </c>
      <c r="D48" s="106">
        <v>10</v>
      </c>
      <c r="M48" s="241"/>
    </row>
    <row r="49" spans="2:13" x14ac:dyDescent="0.3">
      <c r="B49" s="10" t="s">
        <v>32</v>
      </c>
      <c r="C49" s="11" t="s">
        <v>98</v>
      </c>
      <c r="D49" s="106">
        <v>10</v>
      </c>
      <c r="M49" s="241"/>
    </row>
    <row r="50" spans="2:13" x14ac:dyDescent="0.3">
      <c r="B50" s="10" t="s">
        <v>32</v>
      </c>
      <c r="C50" s="11" t="s">
        <v>99</v>
      </c>
      <c r="D50" s="106">
        <v>10</v>
      </c>
      <c r="M50" s="241"/>
    </row>
    <row r="51" spans="2:13" x14ac:dyDescent="0.3">
      <c r="B51" s="10" t="s">
        <v>40</v>
      </c>
      <c r="C51" s="11" t="s">
        <v>100</v>
      </c>
      <c r="D51" s="106">
        <v>10</v>
      </c>
      <c r="M51" s="241"/>
    </row>
    <row r="52" spans="2:13" x14ac:dyDescent="0.3">
      <c r="B52" s="10" t="s">
        <v>34</v>
      </c>
      <c r="C52" s="11" t="s">
        <v>101</v>
      </c>
      <c r="D52" s="106">
        <v>10</v>
      </c>
      <c r="M52" s="241"/>
    </row>
    <row r="53" spans="2:13" x14ac:dyDescent="0.3">
      <c r="B53" s="10" t="s">
        <v>28</v>
      </c>
      <c r="C53" s="11" t="s">
        <v>102</v>
      </c>
      <c r="D53" s="106">
        <v>10</v>
      </c>
      <c r="M53" s="241"/>
    </row>
    <row r="54" spans="2:13" x14ac:dyDescent="0.3">
      <c r="B54" s="10" t="s">
        <v>33</v>
      </c>
      <c r="C54" s="11" t="s">
        <v>103</v>
      </c>
      <c r="D54" s="106">
        <v>10</v>
      </c>
      <c r="M54" s="241"/>
    </row>
    <row r="55" spans="2:13" x14ac:dyDescent="0.3">
      <c r="B55" s="10" t="s">
        <v>35</v>
      </c>
      <c r="C55" s="11" t="s">
        <v>104</v>
      </c>
      <c r="D55" s="107">
        <v>54</v>
      </c>
      <c r="M55" s="241"/>
    </row>
    <row r="56" spans="2:13" x14ac:dyDescent="0.3">
      <c r="B56" s="10" t="s">
        <v>37</v>
      </c>
      <c r="C56" s="11" t="s">
        <v>105</v>
      </c>
      <c r="D56" s="106">
        <v>10</v>
      </c>
      <c r="M56" s="241"/>
    </row>
    <row r="57" spans="2:13" x14ac:dyDescent="0.3">
      <c r="B57" s="10" t="s">
        <v>51</v>
      </c>
      <c r="C57" s="11" t="s">
        <v>106</v>
      </c>
      <c r="D57" s="106">
        <v>10</v>
      </c>
      <c r="M57" s="241"/>
    </row>
    <row r="58" spans="2:13" x14ac:dyDescent="0.3">
      <c r="B58" s="10" t="s">
        <v>33</v>
      </c>
      <c r="C58" s="11" t="s">
        <v>107</v>
      </c>
      <c r="D58" s="106">
        <v>10</v>
      </c>
      <c r="M58" s="241"/>
    </row>
    <row r="59" spans="2:13" x14ac:dyDescent="0.3">
      <c r="B59" s="10" t="s">
        <v>51</v>
      </c>
      <c r="C59" s="11" t="s">
        <v>108</v>
      </c>
      <c r="D59" s="106">
        <v>10</v>
      </c>
      <c r="M59" s="241"/>
    </row>
    <row r="60" spans="2:13" x14ac:dyDescent="0.3">
      <c r="B60" s="10" t="s">
        <v>40</v>
      </c>
      <c r="C60" s="11" t="s">
        <v>109</v>
      </c>
      <c r="D60" s="106">
        <v>10</v>
      </c>
      <c r="M60" s="241"/>
    </row>
    <row r="61" spans="2:13" x14ac:dyDescent="0.3">
      <c r="B61" s="10" t="s">
        <v>30</v>
      </c>
      <c r="C61" s="11" t="s">
        <v>110</v>
      </c>
      <c r="D61" s="106">
        <v>10</v>
      </c>
      <c r="M61" s="241"/>
    </row>
    <row r="62" spans="2:13" x14ac:dyDescent="0.3">
      <c r="B62" s="10" t="s">
        <v>30</v>
      </c>
      <c r="C62" s="11" t="s">
        <v>111</v>
      </c>
      <c r="D62" s="106">
        <v>10</v>
      </c>
      <c r="M62" s="241"/>
    </row>
    <row r="63" spans="2:13" x14ac:dyDescent="0.3">
      <c r="B63" s="10" t="s">
        <v>30</v>
      </c>
      <c r="C63" s="11" t="s">
        <v>112</v>
      </c>
      <c r="D63" s="106">
        <v>10</v>
      </c>
      <c r="M63" s="241"/>
    </row>
    <row r="64" spans="2:13" x14ac:dyDescent="0.3">
      <c r="B64" s="10" t="s">
        <v>47</v>
      </c>
      <c r="C64" s="11" t="s">
        <v>113</v>
      </c>
      <c r="D64" s="106">
        <v>10</v>
      </c>
      <c r="M64" s="241"/>
    </row>
    <row r="65" spans="2:13" x14ac:dyDescent="0.3">
      <c r="B65" s="10" t="s">
        <v>32</v>
      </c>
      <c r="C65" s="11" t="s">
        <v>114</v>
      </c>
      <c r="D65" s="106">
        <v>10</v>
      </c>
      <c r="M65" s="241"/>
    </row>
    <row r="66" spans="2:13" x14ac:dyDescent="0.3">
      <c r="B66" s="10" t="s">
        <v>31</v>
      </c>
      <c r="C66" s="11" t="s">
        <v>115</v>
      </c>
      <c r="D66" s="106">
        <v>10</v>
      </c>
      <c r="M66" s="241"/>
    </row>
    <row r="67" spans="2:13" x14ac:dyDescent="0.3">
      <c r="B67" s="10" t="s">
        <v>31</v>
      </c>
      <c r="C67" s="11" t="s">
        <v>116</v>
      </c>
      <c r="D67" s="106">
        <v>10</v>
      </c>
      <c r="M67" s="241"/>
    </row>
    <row r="68" spans="2:13" x14ac:dyDescent="0.3">
      <c r="B68" s="10" t="s">
        <v>32</v>
      </c>
      <c r="C68" s="11" t="s">
        <v>117</v>
      </c>
      <c r="D68" s="106">
        <v>10</v>
      </c>
      <c r="M68" s="241"/>
    </row>
    <row r="69" spans="2:13" x14ac:dyDescent="0.3">
      <c r="B69" s="10" t="s">
        <v>32</v>
      </c>
      <c r="C69" s="11" t="s">
        <v>118</v>
      </c>
      <c r="D69" s="106">
        <v>10</v>
      </c>
      <c r="M69" s="241"/>
    </row>
    <row r="70" spans="2:13" x14ac:dyDescent="0.3">
      <c r="B70" s="10" t="s">
        <v>51</v>
      </c>
      <c r="C70" s="11" t="s">
        <v>119</v>
      </c>
      <c r="D70" s="106">
        <v>10</v>
      </c>
      <c r="M70" s="241"/>
    </row>
    <row r="71" spans="2:13" x14ac:dyDescent="0.3">
      <c r="B71" s="10" t="s">
        <v>32</v>
      </c>
      <c r="C71" s="11" t="s">
        <v>120</v>
      </c>
      <c r="D71" s="106">
        <v>10</v>
      </c>
      <c r="M71" s="241"/>
    </row>
    <row r="72" spans="2:13" x14ac:dyDescent="0.3">
      <c r="B72" s="10" t="s">
        <v>50</v>
      </c>
      <c r="C72" s="11" t="s">
        <v>121</v>
      </c>
      <c r="D72" s="106">
        <v>10</v>
      </c>
      <c r="M72" s="241"/>
    </row>
    <row r="73" spans="2:13" x14ac:dyDescent="0.3">
      <c r="B73" s="10" t="s">
        <v>38</v>
      </c>
      <c r="C73" s="11" t="s">
        <v>122</v>
      </c>
      <c r="D73" s="106">
        <v>10</v>
      </c>
      <c r="M73" s="241"/>
    </row>
    <row r="74" spans="2:13" x14ac:dyDescent="0.3">
      <c r="B74" s="10" t="s">
        <v>46</v>
      </c>
      <c r="C74" s="11" t="s">
        <v>123</v>
      </c>
      <c r="D74" s="106">
        <v>10</v>
      </c>
      <c r="M74" s="241"/>
    </row>
    <row r="75" spans="2:13" x14ac:dyDescent="0.3">
      <c r="B75" s="10" t="s">
        <v>41</v>
      </c>
      <c r="C75" s="11" t="s">
        <v>124</v>
      </c>
      <c r="D75" s="106">
        <v>10</v>
      </c>
      <c r="M75" s="241"/>
    </row>
    <row r="76" spans="2:13" x14ac:dyDescent="0.3">
      <c r="B76" s="10" t="s">
        <v>29</v>
      </c>
      <c r="C76" s="11" t="s">
        <v>125</v>
      </c>
      <c r="D76" s="106">
        <v>10</v>
      </c>
      <c r="M76" s="241"/>
    </row>
    <row r="77" spans="2:13" x14ac:dyDescent="0.3">
      <c r="B77" s="10" t="s">
        <v>41</v>
      </c>
      <c r="C77" s="11" t="s">
        <v>126</v>
      </c>
      <c r="D77" s="106">
        <v>10</v>
      </c>
      <c r="M77" s="241"/>
    </row>
    <row r="78" spans="2:13" x14ac:dyDescent="0.3">
      <c r="B78" s="10" t="s">
        <v>32</v>
      </c>
      <c r="C78" s="11" t="s">
        <v>127</v>
      </c>
      <c r="D78" s="106">
        <v>10</v>
      </c>
      <c r="M78" s="241"/>
    </row>
    <row r="79" spans="2:13" x14ac:dyDescent="0.3">
      <c r="B79" s="10" t="s">
        <v>33</v>
      </c>
      <c r="C79" s="11" t="s">
        <v>128</v>
      </c>
      <c r="D79" s="106">
        <v>10</v>
      </c>
      <c r="M79" s="241"/>
    </row>
    <row r="80" spans="2:13" x14ac:dyDescent="0.3">
      <c r="B80" s="10" t="s">
        <v>32</v>
      </c>
      <c r="C80" s="11" t="s">
        <v>129</v>
      </c>
      <c r="D80" s="106">
        <v>10</v>
      </c>
      <c r="M80" s="241"/>
    </row>
    <row r="81" spans="2:13" x14ac:dyDescent="0.3">
      <c r="B81" s="10" t="s">
        <v>50</v>
      </c>
      <c r="C81" s="11" t="s">
        <v>130</v>
      </c>
      <c r="D81" s="106">
        <v>10</v>
      </c>
      <c r="M81" s="241"/>
    </row>
    <row r="82" spans="2:13" x14ac:dyDescent="0.3">
      <c r="B82" s="10" t="s">
        <v>33</v>
      </c>
      <c r="C82" s="11" t="s">
        <v>131</v>
      </c>
      <c r="D82" s="106">
        <v>10</v>
      </c>
      <c r="M82" s="241"/>
    </row>
    <row r="83" spans="2:13" x14ac:dyDescent="0.3">
      <c r="B83" s="10" t="s">
        <v>29</v>
      </c>
      <c r="C83" s="11" t="s">
        <v>132</v>
      </c>
      <c r="D83" s="106">
        <v>10</v>
      </c>
      <c r="M83" s="241"/>
    </row>
    <row r="84" spans="2:13" x14ac:dyDescent="0.3">
      <c r="B84" s="10" t="s">
        <v>48</v>
      </c>
      <c r="C84" s="11" t="s">
        <v>133</v>
      </c>
      <c r="D84" s="106">
        <v>10</v>
      </c>
      <c r="M84" s="241"/>
    </row>
    <row r="85" spans="2:13" x14ac:dyDescent="0.3">
      <c r="B85" s="10" t="s">
        <v>40</v>
      </c>
      <c r="C85" s="11" t="s">
        <v>134</v>
      </c>
      <c r="D85" s="106">
        <v>10</v>
      </c>
      <c r="M85" s="241"/>
    </row>
    <row r="86" spans="2:13" x14ac:dyDescent="0.3">
      <c r="B86" s="10" t="s">
        <v>35</v>
      </c>
      <c r="C86" s="11" t="s">
        <v>135</v>
      </c>
      <c r="D86" s="107">
        <v>54</v>
      </c>
      <c r="M86" s="241"/>
    </row>
    <row r="87" spans="2:13" x14ac:dyDescent="0.3">
      <c r="B87" s="10" t="s">
        <v>37</v>
      </c>
      <c r="C87" s="11" t="s">
        <v>136</v>
      </c>
      <c r="D87" s="106">
        <v>10</v>
      </c>
      <c r="M87" s="241"/>
    </row>
    <row r="88" spans="2:13" x14ac:dyDescent="0.3">
      <c r="B88" s="10" t="s">
        <v>34</v>
      </c>
      <c r="C88" s="11" t="s">
        <v>137</v>
      </c>
      <c r="D88" s="106">
        <v>10</v>
      </c>
      <c r="M88" s="241"/>
    </row>
    <row r="89" spans="2:13" x14ac:dyDescent="0.3">
      <c r="B89" s="10" t="s">
        <v>41</v>
      </c>
      <c r="C89" s="11" t="s">
        <v>42</v>
      </c>
      <c r="D89" s="106">
        <v>10</v>
      </c>
      <c r="M89" s="241"/>
    </row>
    <row r="90" spans="2:13" x14ac:dyDescent="0.3">
      <c r="B90" s="10" t="s">
        <v>31</v>
      </c>
      <c r="C90" s="11" t="s">
        <v>138</v>
      </c>
      <c r="D90" s="106">
        <v>10</v>
      </c>
      <c r="M90" s="241"/>
    </row>
    <row r="91" spans="2:13" x14ac:dyDescent="0.3">
      <c r="B91" s="10" t="s">
        <v>32</v>
      </c>
      <c r="C91" s="11" t="s">
        <v>139</v>
      </c>
      <c r="D91" s="106">
        <v>10</v>
      </c>
      <c r="M91" s="241"/>
    </row>
    <row r="92" spans="2:13" x14ac:dyDescent="0.3">
      <c r="B92" s="10" t="s">
        <v>34</v>
      </c>
      <c r="C92" s="11" t="s">
        <v>140</v>
      </c>
      <c r="D92" s="106">
        <v>10</v>
      </c>
      <c r="M92" s="241"/>
    </row>
    <row r="93" spans="2:13" x14ac:dyDescent="0.3">
      <c r="B93" s="10" t="s">
        <v>31</v>
      </c>
      <c r="C93" s="11" t="s">
        <v>141</v>
      </c>
      <c r="D93" s="106">
        <v>10</v>
      </c>
      <c r="M93" s="241"/>
    </row>
    <row r="94" spans="2:13" x14ac:dyDescent="0.3">
      <c r="B94" s="10" t="s">
        <v>33</v>
      </c>
      <c r="C94" s="11" t="s">
        <v>142</v>
      </c>
      <c r="D94" s="106">
        <v>10</v>
      </c>
      <c r="M94" s="241"/>
    </row>
    <row r="95" spans="2:13" x14ac:dyDescent="0.3">
      <c r="B95" s="10" t="s">
        <v>35</v>
      </c>
      <c r="C95" s="11" t="s">
        <v>143</v>
      </c>
      <c r="D95" s="106">
        <v>10</v>
      </c>
      <c r="M95" s="241"/>
    </row>
    <row r="96" spans="2:13" x14ac:dyDescent="0.3">
      <c r="B96" s="10" t="s">
        <v>37</v>
      </c>
      <c r="C96" s="11" t="s">
        <v>144</v>
      </c>
      <c r="D96" s="106">
        <v>10</v>
      </c>
      <c r="M96" s="241"/>
    </row>
    <row r="97" spans="2:13" x14ac:dyDescent="0.3">
      <c r="B97" s="10" t="s">
        <v>241</v>
      </c>
      <c r="C97" s="11" t="s">
        <v>145</v>
      </c>
      <c r="D97" s="106">
        <v>10</v>
      </c>
      <c r="M97" s="241"/>
    </row>
    <row r="98" spans="2:13" x14ac:dyDescent="0.3">
      <c r="B98" s="10" t="s">
        <v>32</v>
      </c>
      <c r="C98" s="11" t="s">
        <v>146</v>
      </c>
      <c r="D98" s="106">
        <v>10</v>
      </c>
      <c r="M98" s="241"/>
    </row>
    <row r="99" spans="2:13" x14ac:dyDescent="0.3">
      <c r="B99" s="10" t="s">
        <v>32</v>
      </c>
      <c r="C99" s="11" t="s">
        <v>147</v>
      </c>
      <c r="D99" s="106">
        <v>10</v>
      </c>
      <c r="M99" s="241"/>
    </row>
    <row r="100" spans="2:13" x14ac:dyDescent="0.3">
      <c r="B100" s="10" t="s">
        <v>52</v>
      </c>
      <c r="C100" s="11" t="s">
        <v>53</v>
      </c>
      <c r="D100" s="106">
        <v>10</v>
      </c>
      <c r="M100" s="241"/>
    </row>
    <row r="101" spans="2:13" x14ac:dyDescent="0.3">
      <c r="B101" s="10" t="s">
        <v>35</v>
      </c>
      <c r="C101" s="11" t="s">
        <v>148</v>
      </c>
      <c r="D101" s="106">
        <v>10</v>
      </c>
      <c r="M101" s="241"/>
    </row>
    <row r="102" spans="2:13" x14ac:dyDescent="0.3">
      <c r="B102" s="10" t="s">
        <v>33</v>
      </c>
      <c r="C102" s="11" t="s">
        <v>149</v>
      </c>
      <c r="D102" s="106">
        <v>10</v>
      </c>
      <c r="M102" s="241"/>
    </row>
    <row r="103" spans="2:13" x14ac:dyDescent="0.3">
      <c r="B103" s="10" t="s">
        <v>34</v>
      </c>
      <c r="C103" s="11" t="s">
        <v>150</v>
      </c>
      <c r="D103" s="106">
        <v>10</v>
      </c>
      <c r="M103" s="241"/>
    </row>
    <row r="104" spans="2:13" x14ac:dyDescent="0.3">
      <c r="B104" s="10" t="s">
        <v>37</v>
      </c>
      <c r="C104" s="11" t="s">
        <v>151</v>
      </c>
      <c r="D104" s="106">
        <v>10</v>
      </c>
      <c r="M104" s="241"/>
    </row>
    <row r="105" spans="2:13" x14ac:dyDescent="0.3">
      <c r="B105" s="10" t="s">
        <v>242</v>
      </c>
      <c r="C105" s="11" t="s">
        <v>243</v>
      </c>
      <c r="D105" s="65"/>
      <c r="M105" s="241"/>
    </row>
    <row r="106" spans="2:13" x14ac:dyDescent="0.3">
      <c r="B106" s="10" t="s">
        <v>26</v>
      </c>
      <c r="C106" s="11" t="s">
        <v>243</v>
      </c>
      <c r="D106" s="65"/>
      <c r="M106" s="241"/>
    </row>
    <row r="107" spans="2:13" x14ac:dyDescent="0.3">
      <c r="B107" s="240"/>
      <c r="M107" s="241"/>
    </row>
    <row r="108" spans="2:13" x14ac:dyDescent="0.3">
      <c r="B108" s="240"/>
      <c r="M108" s="241"/>
    </row>
    <row r="109" spans="2:13" x14ac:dyDescent="0.3">
      <c r="B109" s="240"/>
      <c r="M109" s="241"/>
    </row>
    <row r="110" spans="2:13" x14ac:dyDescent="0.3">
      <c r="B110" s="240"/>
      <c r="M110" s="241"/>
    </row>
    <row r="111" spans="2:13" x14ac:dyDescent="0.3">
      <c r="B111" s="240"/>
      <c r="M111" s="241"/>
    </row>
    <row r="112" spans="2:13" x14ac:dyDescent="0.3">
      <c r="B112" s="240"/>
      <c r="M112" s="241"/>
    </row>
    <row r="113" spans="2:13" x14ac:dyDescent="0.3">
      <c r="B113" s="240"/>
      <c r="M113" s="241"/>
    </row>
    <row r="114" spans="2:13" x14ac:dyDescent="0.3">
      <c r="B114" s="240"/>
      <c r="M114" s="241"/>
    </row>
    <row r="115" spans="2:13" ht="21" x14ac:dyDescent="0.3">
      <c r="B115" s="66" t="s">
        <v>244</v>
      </c>
      <c r="C115" s="66" t="s">
        <v>245</v>
      </c>
      <c r="M115" s="241"/>
    </row>
    <row r="116" spans="2:13" x14ac:dyDescent="0.3">
      <c r="B116" s="8" t="s">
        <v>225</v>
      </c>
      <c r="C116" s="9">
        <f>'BUILDING 1'!D$11</f>
        <v>0</v>
      </c>
      <c r="M116" s="241"/>
    </row>
    <row r="117" spans="2:13" x14ac:dyDescent="0.3">
      <c r="B117" s="8" t="s">
        <v>226</v>
      </c>
      <c r="C117" s="9">
        <f>'BUILDING 1'!D$12</f>
        <v>0.05</v>
      </c>
      <c r="M117" s="241"/>
    </row>
    <row r="118" spans="2:13" x14ac:dyDescent="0.3">
      <c r="B118" s="8" t="s">
        <v>224</v>
      </c>
      <c r="C118" s="9">
        <f>'BUILDING 1'!D$12</f>
        <v>0.05</v>
      </c>
      <c r="M118" s="241"/>
    </row>
    <row r="119" spans="2:13" x14ac:dyDescent="0.3">
      <c r="B119" s="8" t="s">
        <v>246</v>
      </c>
      <c r="C119" s="9">
        <f>'BUILDING 1'!D$12</f>
        <v>0.05</v>
      </c>
      <c r="M119" s="241"/>
    </row>
    <row r="120" spans="2:13" x14ac:dyDescent="0.3">
      <c r="B120" s="8" t="s">
        <v>247</v>
      </c>
      <c r="C120" s="9">
        <f>'BUILDING 1'!D$12</f>
        <v>0.05</v>
      </c>
      <c r="M120" s="241"/>
    </row>
    <row r="121" spans="2:13" x14ac:dyDescent="0.3">
      <c r="B121" s="8" t="s">
        <v>248</v>
      </c>
      <c r="C121" s="9">
        <f>'BUILDING 1'!D$12</f>
        <v>0.05</v>
      </c>
      <c r="M121" s="241"/>
    </row>
    <row r="122" spans="2:13" x14ac:dyDescent="0.3">
      <c r="B122" s="8" t="s">
        <v>249</v>
      </c>
      <c r="C122" s="9">
        <f>'BUILDING 1'!D$12</f>
        <v>0.05</v>
      </c>
      <c r="M122" s="241"/>
    </row>
    <row r="123" spans="2:13" x14ac:dyDescent="0.3">
      <c r="B123" s="8" t="s">
        <v>198</v>
      </c>
      <c r="C123" s="9">
        <f>'BUILDING 1'!D$11</f>
        <v>0</v>
      </c>
      <c r="M123" s="241"/>
    </row>
    <row r="124" spans="2:13" x14ac:dyDescent="0.3">
      <c r="B124" s="8"/>
      <c r="C124" s="8"/>
      <c r="M124" s="241"/>
    </row>
    <row r="125" spans="2:13" x14ac:dyDescent="0.3">
      <c r="B125" s="8"/>
      <c r="C125" s="8"/>
      <c r="M125" s="241"/>
    </row>
    <row r="126" spans="2:13" x14ac:dyDescent="0.3">
      <c r="B126" s="8"/>
      <c r="C126" s="8"/>
      <c r="D126" s="253"/>
      <c r="E126" s="253"/>
      <c r="F126" s="253"/>
      <c r="G126" s="253"/>
      <c r="H126" s="253"/>
      <c r="I126" s="253"/>
      <c r="J126" s="253"/>
      <c r="K126" s="253"/>
      <c r="L126" s="253"/>
      <c r="M126" s="254"/>
    </row>
  </sheetData>
  <sortState xmlns:xlrd2="http://schemas.microsoft.com/office/spreadsheetml/2017/richdata2" ref="B8:D104">
    <sortCondition ref="C8:C97"/>
  </sortState>
  <mergeCells count="3">
    <mergeCell ref="B2:M3"/>
    <mergeCell ref="B4:M4"/>
    <mergeCell ref="F6:J6"/>
  </mergeCells>
  <hyperlinks>
    <hyperlink ref="F6:I6" location="'COST SUMMARY'!A1" display="CLICK HERE TO GO BACK TO COST SUMMARY" xr:uid="{00000000-0004-0000-0600-000000000000}"/>
  </hyperlinks>
  <pageMargins left="0.25" right="0.25" top="0.75" bottom="0.75" header="0.3" footer="0.3"/>
  <pageSetup scale="56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A1:EP142"/>
  <sheetViews>
    <sheetView workbookViewId="0">
      <selection activeCell="B3" sqref="B3"/>
    </sheetView>
  </sheetViews>
  <sheetFormatPr defaultColWidth="8.81640625" defaultRowHeight="14.4" x14ac:dyDescent="0.3"/>
  <cols>
    <col min="1" max="16384" width="8.81640625" style="20"/>
  </cols>
  <sheetData>
    <row r="1" spans="1:146" x14ac:dyDescent="0.3">
      <c r="A1" s="20" t="s">
        <v>250</v>
      </c>
      <c r="B1" s="20" t="s">
        <v>251</v>
      </c>
      <c r="C1" s="20" t="s">
        <v>252</v>
      </c>
      <c r="D1" s="21" t="s">
        <v>4</v>
      </c>
      <c r="E1" s="21" t="s">
        <v>253</v>
      </c>
      <c r="F1" s="20" t="s">
        <v>254</v>
      </c>
      <c r="G1" s="20" t="s">
        <v>255</v>
      </c>
      <c r="H1" s="20" t="s">
        <v>256</v>
      </c>
      <c r="I1" s="20" t="s">
        <v>257</v>
      </c>
      <c r="J1" s="20" t="s">
        <v>258</v>
      </c>
      <c r="K1" s="20" t="s">
        <v>259</v>
      </c>
      <c r="L1" s="20" t="s">
        <v>260</v>
      </c>
      <c r="M1" s="20" t="s">
        <v>261</v>
      </c>
      <c r="N1" s="20" t="s">
        <v>262</v>
      </c>
      <c r="O1" s="20" t="s">
        <v>263</v>
      </c>
      <c r="P1" s="20" t="s">
        <v>264</v>
      </c>
      <c r="Q1" s="20" t="s">
        <v>265</v>
      </c>
      <c r="R1" s="20" t="s">
        <v>266</v>
      </c>
      <c r="S1" s="20" t="s">
        <v>267</v>
      </c>
      <c r="T1" s="20" t="s">
        <v>268</v>
      </c>
      <c r="U1" s="20" t="s">
        <v>269</v>
      </c>
      <c r="V1" s="20" t="s">
        <v>270</v>
      </c>
      <c r="W1" s="20" t="s">
        <v>271</v>
      </c>
      <c r="X1" s="20" t="s">
        <v>272</v>
      </c>
      <c r="Y1" s="20" t="s">
        <v>273</v>
      </c>
      <c r="Z1" s="20" t="s">
        <v>274</v>
      </c>
      <c r="AA1" s="20" t="s">
        <v>275</v>
      </c>
      <c r="AB1" s="20" t="s">
        <v>276</v>
      </c>
      <c r="AC1" s="20" t="s">
        <v>277</v>
      </c>
      <c r="AD1" s="20" t="s">
        <v>278</v>
      </c>
      <c r="AE1" s="20" t="s">
        <v>279</v>
      </c>
      <c r="AF1" s="20" t="s">
        <v>280</v>
      </c>
      <c r="AG1" s="20" t="s">
        <v>281</v>
      </c>
      <c r="AH1" s="20" t="s">
        <v>282</v>
      </c>
      <c r="AI1" s="20" t="s">
        <v>283</v>
      </c>
      <c r="AJ1" s="20" t="s">
        <v>284</v>
      </c>
      <c r="AK1" s="20" t="s">
        <v>285</v>
      </c>
      <c r="AL1" s="20" t="s">
        <v>286</v>
      </c>
      <c r="AM1" s="20" t="s">
        <v>287</v>
      </c>
      <c r="AN1" s="20" t="s">
        <v>288</v>
      </c>
      <c r="AO1" s="20" t="s">
        <v>289</v>
      </c>
      <c r="AP1" s="20" t="s">
        <v>290</v>
      </c>
      <c r="AQ1" s="20" t="s">
        <v>291</v>
      </c>
      <c r="AR1" s="20" t="s">
        <v>292</v>
      </c>
      <c r="AS1" s="20" t="s">
        <v>293</v>
      </c>
      <c r="AT1" s="20" t="s">
        <v>294</v>
      </c>
      <c r="AU1" s="20" t="s">
        <v>295</v>
      </c>
      <c r="AV1" s="20" t="s">
        <v>296</v>
      </c>
      <c r="AW1" s="20" t="s">
        <v>297</v>
      </c>
      <c r="AX1" s="20" t="s">
        <v>298</v>
      </c>
      <c r="AY1" s="20" t="s">
        <v>299</v>
      </c>
      <c r="AZ1" s="20" t="s">
        <v>300</v>
      </c>
      <c r="BA1" s="20" t="s">
        <v>301</v>
      </c>
      <c r="BB1" s="20" t="s">
        <v>302</v>
      </c>
      <c r="BC1" s="20" t="s">
        <v>303</v>
      </c>
      <c r="BD1" s="20" t="s">
        <v>304</v>
      </c>
      <c r="BE1" s="20" t="s">
        <v>305</v>
      </c>
      <c r="BF1" s="20" t="s">
        <v>306</v>
      </c>
      <c r="BG1" s="20" t="s">
        <v>307</v>
      </c>
      <c r="BH1" s="20" t="s">
        <v>308</v>
      </c>
      <c r="BI1" s="20" t="s">
        <v>309</v>
      </c>
      <c r="BJ1" s="20" t="s">
        <v>310</v>
      </c>
      <c r="BK1" s="20" t="s">
        <v>311</v>
      </c>
      <c r="BL1" s="20" t="s">
        <v>312</v>
      </c>
      <c r="BM1" s="20" t="s">
        <v>313</v>
      </c>
      <c r="BN1" s="20" t="s">
        <v>314</v>
      </c>
      <c r="BO1" s="20" t="s">
        <v>315</v>
      </c>
      <c r="BP1" s="20" t="s">
        <v>316</v>
      </c>
      <c r="BQ1" s="20" t="s">
        <v>317</v>
      </c>
      <c r="BR1" s="20" t="s">
        <v>318</v>
      </c>
      <c r="BS1" s="20" t="s">
        <v>319</v>
      </c>
      <c r="BT1" s="20" t="s">
        <v>320</v>
      </c>
      <c r="BU1" s="20" t="s">
        <v>321</v>
      </c>
      <c r="BV1" s="20" t="s">
        <v>322</v>
      </c>
      <c r="BW1" s="20" t="s">
        <v>323</v>
      </c>
      <c r="BX1" s="20" t="s">
        <v>324</v>
      </c>
      <c r="BY1" s="20" t="s">
        <v>325</v>
      </c>
      <c r="BZ1" s="20" t="s">
        <v>326</v>
      </c>
      <c r="CA1" s="20" t="s">
        <v>327</v>
      </c>
      <c r="CB1" s="20" t="s">
        <v>328</v>
      </c>
      <c r="CC1" s="20" t="s">
        <v>329</v>
      </c>
      <c r="CD1" s="20" t="s">
        <v>330</v>
      </c>
      <c r="CE1" s="20" t="s">
        <v>331</v>
      </c>
      <c r="CF1" s="20" t="s">
        <v>332</v>
      </c>
      <c r="CG1" s="20" t="s">
        <v>333</v>
      </c>
      <c r="CH1" s="20" t="s">
        <v>334</v>
      </c>
      <c r="CI1" s="20" t="s">
        <v>335</v>
      </c>
      <c r="CJ1" s="20" t="s">
        <v>336</v>
      </c>
      <c r="CK1" s="20" t="s">
        <v>337</v>
      </c>
      <c r="CL1" s="20" t="s">
        <v>338</v>
      </c>
      <c r="CM1" s="20" t="s">
        <v>339</v>
      </c>
      <c r="CN1" s="20" t="s">
        <v>340</v>
      </c>
      <c r="CO1" s="20" t="s">
        <v>341</v>
      </c>
      <c r="CP1" s="20" t="s">
        <v>342</v>
      </c>
      <c r="CQ1" s="20" t="s">
        <v>343</v>
      </c>
      <c r="CR1" s="20" t="s">
        <v>344</v>
      </c>
      <c r="CS1" s="20" t="s">
        <v>345</v>
      </c>
      <c r="CT1" s="20" t="s">
        <v>346</v>
      </c>
      <c r="CU1" s="20" t="s">
        <v>347</v>
      </c>
      <c r="CV1" s="20" t="s">
        <v>348</v>
      </c>
      <c r="CW1" s="20" t="s">
        <v>349</v>
      </c>
      <c r="CX1" s="20" t="s">
        <v>350</v>
      </c>
      <c r="CY1" s="20" t="s">
        <v>351</v>
      </c>
      <c r="CZ1" s="20" t="s">
        <v>352</v>
      </c>
      <c r="DA1" s="20" t="s">
        <v>353</v>
      </c>
      <c r="DB1" s="20" t="s">
        <v>354</v>
      </c>
      <c r="DC1" s="20" t="s">
        <v>355</v>
      </c>
      <c r="DD1" s="20" t="s">
        <v>356</v>
      </c>
      <c r="DE1" s="20" t="s">
        <v>357</v>
      </c>
      <c r="DF1" s="20" t="s">
        <v>358</v>
      </c>
      <c r="DG1" s="20" t="s">
        <v>359</v>
      </c>
      <c r="DH1" s="20" t="s">
        <v>360</v>
      </c>
      <c r="DI1" s="20" t="s">
        <v>361</v>
      </c>
      <c r="DJ1" s="20" t="s">
        <v>362</v>
      </c>
      <c r="DK1" s="20" t="s">
        <v>363</v>
      </c>
      <c r="DL1" s="20" t="s">
        <v>364</v>
      </c>
      <c r="DM1" s="20" t="s">
        <v>365</v>
      </c>
      <c r="DN1" s="20" t="s">
        <v>366</v>
      </c>
      <c r="DO1" s="20" t="s">
        <v>367</v>
      </c>
      <c r="DP1" s="20" t="s">
        <v>368</v>
      </c>
      <c r="DQ1" s="20" t="s">
        <v>369</v>
      </c>
      <c r="DR1" s="20" t="s">
        <v>370</v>
      </c>
      <c r="DS1" s="20" t="s">
        <v>371</v>
      </c>
      <c r="DT1" s="20" t="s">
        <v>372</v>
      </c>
      <c r="DU1" s="20" t="s">
        <v>373</v>
      </c>
      <c r="DV1" s="20" t="s">
        <v>374</v>
      </c>
      <c r="DW1" s="20" t="s">
        <v>375</v>
      </c>
      <c r="DX1" s="20" t="s">
        <v>376</v>
      </c>
      <c r="DY1" s="20" t="s">
        <v>377</v>
      </c>
      <c r="DZ1" s="20" t="s">
        <v>378</v>
      </c>
      <c r="EA1" s="20" t="s">
        <v>379</v>
      </c>
      <c r="EB1" s="20" t="s">
        <v>380</v>
      </c>
      <c r="EC1" s="20" t="s">
        <v>381</v>
      </c>
      <c r="ED1" s="20" t="s">
        <v>382</v>
      </c>
      <c r="EE1" s="20" t="s">
        <v>383</v>
      </c>
      <c r="EF1" s="20" t="s">
        <v>384</v>
      </c>
      <c r="EG1" s="20" t="s">
        <v>385</v>
      </c>
      <c r="EH1" s="20" t="s">
        <v>386</v>
      </c>
      <c r="EI1" s="20" t="s">
        <v>387</v>
      </c>
      <c r="EJ1" s="20" t="s">
        <v>388</v>
      </c>
      <c r="EK1" s="20" t="s">
        <v>389</v>
      </c>
      <c r="EL1" s="20" t="s">
        <v>390</v>
      </c>
      <c r="EM1" s="20" t="s">
        <v>391</v>
      </c>
      <c r="EN1" s="20" t="s">
        <v>392</v>
      </c>
      <c r="EO1" s="20" t="s">
        <v>393</v>
      </c>
      <c r="EP1" s="20" t="s">
        <v>394</v>
      </c>
    </row>
    <row r="2" spans="1:146" x14ac:dyDescent="0.3">
      <c r="A2" s="20" t="s">
        <v>251</v>
      </c>
      <c r="B2" s="20" t="s">
        <v>395</v>
      </c>
      <c r="C2" s="20" t="s">
        <v>396</v>
      </c>
      <c r="D2" s="20" t="s">
        <v>397</v>
      </c>
      <c r="E2" s="20" t="s">
        <v>254</v>
      </c>
      <c r="F2" s="20" t="s">
        <v>398</v>
      </c>
      <c r="G2" s="20" t="s">
        <v>398</v>
      </c>
      <c r="H2" s="20" t="s">
        <v>398</v>
      </c>
      <c r="I2" s="20" t="s">
        <v>399</v>
      </c>
      <c r="J2" s="20" t="s">
        <v>400</v>
      </c>
      <c r="K2" s="20" t="s">
        <v>401</v>
      </c>
      <c r="L2" s="20" t="s">
        <v>401</v>
      </c>
      <c r="M2" s="20" t="s">
        <v>402</v>
      </c>
      <c r="N2" s="20" t="s">
        <v>403</v>
      </c>
      <c r="O2" s="20" t="s">
        <v>400</v>
      </c>
      <c r="P2" s="20" t="s">
        <v>404</v>
      </c>
      <c r="Q2" s="20" t="s">
        <v>405</v>
      </c>
      <c r="R2" s="20" t="s">
        <v>406</v>
      </c>
      <c r="S2" s="20" t="s">
        <v>398</v>
      </c>
      <c r="T2" s="20" t="s">
        <v>398</v>
      </c>
      <c r="U2" s="20" t="s">
        <v>403</v>
      </c>
      <c r="V2" s="20" t="s">
        <v>407</v>
      </c>
      <c r="W2" s="20" t="s">
        <v>407</v>
      </c>
      <c r="X2" s="20" t="s">
        <v>398</v>
      </c>
      <c r="Y2" s="20" t="s">
        <v>408</v>
      </c>
      <c r="Z2" s="20" t="s">
        <v>403</v>
      </c>
      <c r="AA2" s="20" t="s">
        <v>401</v>
      </c>
      <c r="AB2" s="20" t="s">
        <v>403</v>
      </c>
      <c r="AC2" s="20" t="s">
        <v>409</v>
      </c>
      <c r="AD2" s="20" t="s">
        <v>401</v>
      </c>
      <c r="AE2" s="20" t="s">
        <v>401</v>
      </c>
      <c r="AF2" s="20" t="s">
        <v>410</v>
      </c>
      <c r="AG2" s="20" t="s">
        <v>411</v>
      </c>
      <c r="AH2" s="20" t="s">
        <v>412</v>
      </c>
      <c r="AI2" s="20" t="s">
        <v>403</v>
      </c>
      <c r="AJ2" s="20" t="s">
        <v>403</v>
      </c>
      <c r="AK2" s="20" t="s">
        <v>413</v>
      </c>
      <c r="AL2" s="20" t="s">
        <v>413</v>
      </c>
      <c r="AM2" s="20" t="s">
        <v>414</v>
      </c>
      <c r="AN2" s="20" t="s">
        <v>414</v>
      </c>
      <c r="AO2" s="20" t="s">
        <v>414</v>
      </c>
      <c r="AP2" s="20" t="s">
        <v>415</v>
      </c>
      <c r="AQ2" s="20" t="s">
        <v>416</v>
      </c>
      <c r="AR2" s="20" t="s">
        <v>417</v>
      </c>
      <c r="AS2" s="20" t="s">
        <v>414</v>
      </c>
      <c r="AT2" s="20" t="s">
        <v>416</v>
      </c>
      <c r="AU2" s="20" t="s">
        <v>416</v>
      </c>
      <c r="AV2" s="20" t="s">
        <v>400</v>
      </c>
      <c r="AW2" s="20" t="s">
        <v>405</v>
      </c>
      <c r="AX2" s="20" t="s">
        <v>398</v>
      </c>
      <c r="AY2" s="20" t="s">
        <v>398</v>
      </c>
      <c r="AZ2" s="20" t="s">
        <v>398</v>
      </c>
      <c r="BA2" s="20" t="s">
        <v>418</v>
      </c>
      <c r="BB2" s="20" t="s">
        <v>403</v>
      </c>
      <c r="BC2" s="20" t="s">
        <v>401</v>
      </c>
      <c r="BD2" s="20" t="s">
        <v>401</v>
      </c>
      <c r="BE2" s="20" t="s">
        <v>398</v>
      </c>
      <c r="BF2" s="20" t="s">
        <v>419</v>
      </c>
      <c r="BG2" s="20" t="s">
        <v>398</v>
      </c>
      <c r="BH2" s="20" t="s">
        <v>405</v>
      </c>
      <c r="BI2" s="20" t="s">
        <v>414</v>
      </c>
      <c r="BJ2" s="20" t="s">
        <v>414</v>
      </c>
      <c r="BK2" s="20" t="s">
        <v>405</v>
      </c>
      <c r="BL2" s="20" t="s">
        <v>405</v>
      </c>
      <c r="BM2" s="20" t="s">
        <v>420</v>
      </c>
      <c r="BN2" s="20" t="s">
        <v>421</v>
      </c>
      <c r="BO2" s="20" t="s">
        <v>398</v>
      </c>
      <c r="BP2" s="20" t="s">
        <v>419</v>
      </c>
      <c r="BQ2" s="20" t="s">
        <v>398</v>
      </c>
      <c r="BR2" s="20" t="s">
        <v>422</v>
      </c>
      <c r="BS2" s="20" t="s">
        <v>398</v>
      </c>
      <c r="BT2" s="20" t="s">
        <v>405</v>
      </c>
      <c r="BU2" s="20" t="s">
        <v>398</v>
      </c>
      <c r="BV2" s="20" t="s">
        <v>401</v>
      </c>
      <c r="BW2" s="20" t="s">
        <v>423</v>
      </c>
      <c r="BX2" s="20" t="s">
        <v>403</v>
      </c>
      <c r="BY2" s="20" t="s">
        <v>403</v>
      </c>
      <c r="BZ2" s="20" t="s">
        <v>424</v>
      </c>
      <c r="CA2" s="20" t="s">
        <v>403</v>
      </c>
      <c r="CB2" s="20" t="s">
        <v>423</v>
      </c>
      <c r="CC2" s="20" t="s">
        <v>425</v>
      </c>
      <c r="CD2" s="20" t="s">
        <v>405</v>
      </c>
      <c r="CE2" s="20" t="s">
        <v>426</v>
      </c>
      <c r="CF2" s="20" t="s">
        <v>427</v>
      </c>
      <c r="CG2" s="20" t="s">
        <v>398</v>
      </c>
      <c r="CH2" s="20" t="s">
        <v>403</v>
      </c>
      <c r="CI2" s="20" t="s">
        <v>398</v>
      </c>
      <c r="CJ2" s="20" t="s">
        <v>407</v>
      </c>
      <c r="CK2" s="20" t="s">
        <v>398</v>
      </c>
      <c r="CL2" s="20" t="s">
        <v>403</v>
      </c>
      <c r="CM2" s="20" t="s">
        <v>403</v>
      </c>
      <c r="CN2" s="20" t="s">
        <v>403</v>
      </c>
      <c r="CO2" s="20" t="s">
        <v>428</v>
      </c>
      <c r="CP2" s="20" t="s">
        <v>407</v>
      </c>
      <c r="CQ2" s="20" t="s">
        <v>401</v>
      </c>
      <c r="CR2" s="20" t="s">
        <v>398</v>
      </c>
      <c r="CS2" s="20" t="s">
        <v>398</v>
      </c>
      <c r="CT2" s="20" t="s">
        <v>429</v>
      </c>
      <c r="CU2" s="20" t="s">
        <v>430</v>
      </c>
      <c r="CV2" s="20" t="s">
        <v>403</v>
      </c>
      <c r="CW2" s="20" t="s">
        <v>405</v>
      </c>
      <c r="CX2" s="20" t="s">
        <v>401</v>
      </c>
      <c r="CY2" s="20" t="s">
        <v>419</v>
      </c>
      <c r="CZ2" s="20" t="s">
        <v>398</v>
      </c>
      <c r="DA2" s="20" t="s">
        <v>400</v>
      </c>
      <c r="DB2" s="20" t="s">
        <v>431</v>
      </c>
      <c r="DC2" s="20" t="s">
        <v>432</v>
      </c>
      <c r="DD2" s="20" t="s">
        <v>432</v>
      </c>
      <c r="DE2" s="20" t="s">
        <v>432</v>
      </c>
      <c r="DF2" s="20" t="s">
        <v>432</v>
      </c>
      <c r="DG2" s="20" t="s">
        <v>432</v>
      </c>
      <c r="DH2" s="20" t="s">
        <v>432</v>
      </c>
      <c r="DI2" s="20" t="s">
        <v>432</v>
      </c>
      <c r="DJ2" s="20" t="s">
        <v>432</v>
      </c>
      <c r="DK2" s="20" t="s">
        <v>432</v>
      </c>
      <c r="DL2" s="20" t="s">
        <v>432</v>
      </c>
      <c r="DM2" s="20" t="s">
        <v>432</v>
      </c>
      <c r="DN2" s="20" t="s">
        <v>432</v>
      </c>
      <c r="DO2" s="20" t="s">
        <v>432</v>
      </c>
      <c r="DP2" s="20" t="s">
        <v>432</v>
      </c>
      <c r="DQ2" s="20" t="s">
        <v>432</v>
      </c>
      <c r="DR2" s="20" t="s">
        <v>432</v>
      </c>
      <c r="DS2" s="20" t="s">
        <v>432</v>
      </c>
      <c r="DT2" s="20" t="s">
        <v>432</v>
      </c>
      <c r="DU2" s="20" t="s">
        <v>433</v>
      </c>
      <c r="DV2" s="20" t="s">
        <v>433</v>
      </c>
      <c r="DW2" s="20" t="s">
        <v>432</v>
      </c>
      <c r="DX2" s="20" t="s">
        <v>432</v>
      </c>
      <c r="DY2" s="20" t="s">
        <v>432</v>
      </c>
      <c r="DZ2" s="20" t="s">
        <v>432</v>
      </c>
      <c r="EA2" s="20" t="s">
        <v>432</v>
      </c>
      <c r="EB2" s="20" t="s">
        <v>432</v>
      </c>
      <c r="EC2" s="20" t="s">
        <v>432</v>
      </c>
      <c r="ED2" s="20" t="s">
        <v>432</v>
      </c>
      <c r="EE2" s="20" t="s">
        <v>432</v>
      </c>
      <c r="EF2" s="20" t="s">
        <v>432</v>
      </c>
      <c r="EG2" s="20" t="s">
        <v>432</v>
      </c>
      <c r="EH2" s="20" t="s">
        <v>432</v>
      </c>
      <c r="EI2" s="20" t="s">
        <v>432</v>
      </c>
      <c r="EJ2" s="20" t="s">
        <v>432</v>
      </c>
      <c r="EK2" s="20" t="s">
        <v>432</v>
      </c>
      <c r="EL2" s="20" t="s">
        <v>432</v>
      </c>
      <c r="EM2" s="20" t="s">
        <v>432</v>
      </c>
      <c r="EN2" s="20" t="s">
        <v>432</v>
      </c>
      <c r="EO2" s="20" t="s">
        <v>432</v>
      </c>
      <c r="EP2" s="20" t="s">
        <v>432</v>
      </c>
    </row>
    <row r="3" spans="1:146" x14ac:dyDescent="0.3">
      <c r="A3" s="20" t="s">
        <v>252</v>
      </c>
      <c r="C3" s="20" t="s">
        <v>434</v>
      </c>
      <c r="D3" s="20" t="s">
        <v>435</v>
      </c>
      <c r="E3" s="20" t="s">
        <v>255</v>
      </c>
      <c r="F3" s="20" t="s">
        <v>423</v>
      </c>
      <c r="G3" s="20" t="s">
        <v>423</v>
      </c>
      <c r="H3" s="20" t="s">
        <v>423</v>
      </c>
      <c r="I3" s="20" t="s">
        <v>436</v>
      </c>
      <c r="J3" s="20" t="s">
        <v>437</v>
      </c>
      <c r="K3" s="20" t="s">
        <v>438</v>
      </c>
      <c r="L3" s="20" t="s">
        <v>438</v>
      </c>
      <c r="M3" s="20" t="s">
        <v>439</v>
      </c>
      <c r="N3" s="20" t="s">
        <v>440</v>
      </c>
      <c r="O3" s="20" t="s">
        <v>437</v>
      </c>
      <c r="P3" s="20" t="s">
        <v>441</v>
      </c>
      <c r="Q3" s="20" t="s">
        <v>442</v>
      </c>
      <c r="R3" s="20" t="s">
        <v>443</v>
      </c>
      <c r="S3" s="20" t="s">
        <v>444</v>
      </c>
      <c r="T3" s="20" t="s">
        <v>444</v>
      </c>
      <c r="U3" s="20" t="s">
        <v>440</v>
      </c>
      <c r="V3" s="20" t="s">
        <v>440</v>
      </c>
      <c r="W3" s="20" t="s">
        <v>440</v>
      </c>
      <c r="X3" s="20" t="s">
        <v>444</v>
      </c>
      <c r="Y3" s="20" t="s">
        <v>445</v>
      </c>
      <c r="Z3" s="20" t="s">
        <v>440</v>
      </c>
      <c r="AA3" s="20" t="s">
        <v>438</v>
      </c>
      <c r="AB3" s="20" t="s">
        <v>440</v>
      </c>
      <c r="AC3" s="20" t="s">
        <v>446</v>
      </c>
      <c r="AD3" s="20" t="s">
        <v>438</v>
      </c>
      <c r="AE3" s="20" t="s">
        <v>438</v>
      </c>
      <c r="AF3" s="20" t="s">
        <v>403</v>
      </c>
      <c r="AG3" s="20" t="s">
        <v>437</v>
      </c>
      <c r="AH3" s="20" t="s">
        <v>447</v>
      </c>
      <c r="AI3" s="20" t="s">
        <v>406</v>
      </c>
      <c r="AJ3" s="20" t="s">
        <v>406</v>
      </c>
      <c r="AK3" s="20" t="s">
        <v>448</v>
      </c>
      <c r="AL3" s="20" t="s">
        <v>448</v>
      </c>
      <c r="AM3" s="20" t="s">
        <v>449</v>
      </c>
      <c r="AN3" s="20" t="s">
        <v>405</v>
      </c>
      <c r="AO3" s="20" t="s">
        <v>405</v>
      </c>
      <c r="AP3" s="20" t="s">
        <v>421</v>
      </c>
      <c r="AQ3" s="20" t="s">
        <v>418</v>
      </c>
      <c r="AR3" s="20" t="s">
        <v>450</v>
      </c>
      <c r="AS3" s="20" t="s">
        <v>425</v>
      </c>
      <c r="AT3" s="20" t="s">
        <v>437</v>
      </c>
      <c r="AU3" s="20" t="s">
        <v>437</v>
      </c>
      <c r="AV3" s="20" t="s">
        <v>437</v>
      </c>
      <c r="AW3" s="20" t="s">
        <v>446</v>
      </c>
      <c r="AX3" s="20" t="s">
        <v>446</v>
      </c>
      <c r="AY3" s="20" t="s">
        <v>446</v>
      </c>
      <c r="AZ3" s="20" t="s">
        <v>446</v>
      </c>
      <c r="BA3" s="20" t="s">
        <v>401</v>
      </c>
      <c r="BB3" s="20" t="s">
        <v>451</v>
      </c>
      <c r="BC3" s="20" t="s">
        <v>438</v>
      </c>
      <c r="BD3" s="20" t="s">
        <v>438</v>
      </c>
      <c r="BE3" s="20" t="s">
        <v>452</v>
      </c>
      <c r="BF3" s="20" t="s">
        <v>425</v>
      </c>
      <c r="BG3" s="20" t="s">
        <v>452</v>
      </c>
      <c r="BH3" s="20" t="s">
        <v>425</v>
      </c>
      <c r="BI3" s="20" t="s">
        <v>405</v>
      </c>
      <c r="BJ3" s="20" t="s">
        <v>405</v>
      </c>
      <c r="BK3" s="20" t="s">
        <v>413</v>
      </c>
      <c r="BL3" s="20" t="s">
        <v>413</v>
      </c>
      <c r="BM3" s="20" t="s">
        <v>448</v>
      </c>
      <c r="BN3" s="20" t="s">
        <v>438</v>
      </c>
      <c r="BO3" s="20" t="s">
        <v>452</v>
      </c>
      <c r="BP3" s="20" t="s">
        <v>453</v>
      </c>
      <c r="BQ3" s="20" t="s">
        <v>454</v>
      </c>
      <c r="BR3" s="20" t="s">
        <v>454</v>
      </c>
      <c r="BS3" s="20" t="s">
        <v>452</v>
      </c>
      <c r="BT3" s="20" t="s">
        <v>422</v>
      </c>
      <c r="BU3" s="20" t="s">
        <v>454</v>
      </c>
      <c r="BV3" s="20" t="s">
        <v>438</v>
      </c>
      <c r="BW3" s="20" t="s">
        <v>419</v>
      </c>
      <c r="BX3" s="20" t="s">
        <v>407</v>
      </c>
      <c r="BY3" s="20" t="s">
        <v>407</v>
      </c>
      <c r="BZ3" s="20" t="s">
        <v>455</v>
      </c>
      <c r="CA3" s="20" t="s">
        <v>451</v>
      </c>
      <c r="CB3" s="20" t="s">
        <v>437</v>
      </c>
      <c r="CC3" s="20" t="s">
        <v>456</v>
      </c>
      <c r="CF3" s="20" t="s">
        <v>457</v>
      </c>
      <c r="CG3" s="20" t="s">
        <v>458</v>
      </c>
      <c r="CH3" s="20" t="s">
        <v>451</v>
      </c>
      <c r="CI3" s="20" t="s">
        <v>458</v>
      </c>
      <c r="CJ3" s="20" t="s">
        <v>451</v>
      </c>
      <c r="CK3" s="20" t="s">
        <v>458</v>
      </c>
      <c r="CL3" s="20" t="s">
        <v>451</v>
      </c>
      <c r="CM3" s="20" t="s">
        <v>451</v>
      </c>
      <c r="CN3" s="20" t="s">
        <v>451</v>
      </c>
      <c r="CO3" s="20" t="s">
        <v>459</v>
      </c>
      <c r="CP3" s="20" t="s">
        <v>448</v>
      </c>
      <c r="CQ3" s="20" t="s">
        <v>438</v>
      </c>
      <c r="CR3" s="20" t="s">
        <v>460</v>
      </c>
      <c r="CS3" s="20" t="s">
        <v>454</v>
      </c>
      <c r="CT3" s="20" t="s">
        <v>438</v>
      </c>
      <c r="CU3" s="20" t="s">
        <v>461</v>
      </c>
      <c r="CV3" s="20" t="s">
        <v>451</v>
      </c>
      <c r="CW3" s="20" t="s">
        <v>462</v>
      </c>
      <c r="CX3" s="20" t="s">
        <v>438</v>
      </c>
      <c r="CY3" s="20" t="s">
        <v>463</v>
      </c>
      <c r="CZ3" s="20" t="s">
        <v>458</v>
      </c>
      <c r="DA3" s="20" t="s">
        <v>437</v>
      </c>
      <c r="DB3" s="20" t="s">
        <v>437</v>
      </c>
      <c r="DC3" s="20" t="s">
        <v>464</v>
      </c>
      <c r="DD3" s="20" t="s">
        <v>464</v>
      </c>
      <c r="DE3" s="20" t="s">
        <v>464</v>
      </c>
      <c r="DF3" s="20" t="s">
        <v>464</v>
      </c>
      <c r="DG3" s="20" t="s">
        <v>464</v>
      </c>
      <c r="DH3" s="20" t="s">
        <v>464</v>
      </c>
      <c r="DI3" s="20" t="s">
        <v>464</v>
      </c>
      <c r="DJ3" s="20" t="s">
        <v>464</v>
      </c>
      <c r="DK3" s="20" t="s">
        <v>465</v>
      </c>
      <c r="DL3" s="20" t="s">
        <v>465</v>
      </c>
      <c r="DM3" s="20" t="s">
        <v>465</v>
      </c>
      <c r="DN3" s="20" t="s">
        <v>465</v>
      </c>
      <c r="DO3" s="20" t="s">
        <v>465</v>
      </c>
      <c r="DP3" s="20" t="s">
        <v>465</v>
      </c>
      <c r="DQ3" s="20" t="s">
        <v>465</v>
      </c>
      <c r="DR3" s="20" t="s">
        <v>465</v>
      </c>
      <c r="DS3" s="20" t="s">
        <v>465</v>
      </c>
      <c r="DT3" s="20" t="s">
        <v>465</v>
      </c>
      <c r="DU3" s="20" t="s">
        <v>466</v>
      </c>
      <c r="DV3" s="20" t="s">
        <v>466</v>
      </c>
      <c r="DW3" s="20" t="s">
        <v>465</v>
      </c>
      <c r="DX3" s="20" t="s">
        <v>465</v>
      </c>
      <c r="DY3" s="20" t="s">
        <v>465</v>
      </c>
      <c r="DZ3" s="20" t="s">
        <v>465</v>
      </c>
      <c r="EA3" s="20" t="s">
        <v>465</v>
      </c>
      <c r="EB3" s="20" t="s">
        <v>465</v>
      </c>
      <c r="EC3" s="20" t="s">
        <v>465</v>
      </c>
      <c r="ED3" s="20" t="s">
        <v>465</v>
      </c>
      <c r="EE3" s="20" t="s">
        <v>465</v>
      </c>
      <c r="EF3" s="20" t="s">
        <v>465</v>
      </c>
      <c r="EG3" s="20" t="s">
        <v>467</v>
      </c>
      <c r="EH3" s="20" t="s">
        <v>467</v>
      </c>
      <c r="EI3" s="20" t="s">
        <v>467</v>
      </c>
      <c r="EJ3" s="20" t="s">
        <v>467</v>
      </c>
      <c r="EK3" s="20" t="s">
        <v>467</v>
      </c>
      <c r="EL3" s="20" t="s">
        <v>468</v>
      </c>
      <c r="EM3" s="20" t="s">
        <v>467</v>
      </c>
      <c r="EN3" s="20" t="s">
        <v>467</v>
      </c>
      <c r="EO3" s="20" t="s">
        <v>467</v>
      </c>
      <c r="EP3" s="20" t="s">
        <v>467</v>
      </c>
    </row>
    <row r="4" spans="1:146" x14ac:dyDescent="0.3">
      <c r="C4" s="20" t="s">
        <v>469</v>
      </c>
      <c r="D4" s="20" t="s">
        <v>470</v>
      </c>
      <c r="E4" s="20" t="s">
        <v>256</v>
      </c>
      <c r="F4" s="20" t="s">
        <v>471</v>
      </c>
      <c r="G4" s="20" t="s">
        <v>472</v>
      </c>
      <c r="H4" s="20" t="s">
        <v>472</v>
      </c>
      <c r="I4" s="20" t="s">
        <v>473</v>
      </c>
      <c r="J4" s="20" t="s">
        <v>474</v>
      </c>
      <c r="K4" s="20" t="s">
        <v>475</v>
      </c>
      <c r="L4" s="20" t="s">
        <v>475</v>
      </c>
      <c r="M4" s="20" t="s">
        <v>476</v>
      </c>
      <c r="N4" s="20" t="s">
        <v>421</v>
      </c>
      <c r="O4" s="20" t="s">
        <v>421</v>
      </c>
      <c r="P4" s="20" t="s">
        <v>477</v>
      </c>
      <c r="Q4" s="20" t="s">
        <v>478</v>
      </c>
      <c r="R4" s="20" t="s">
        <v>479</v>
      </c>
      <c r="S4" s="20" t="s">
        <v>480</v>
      </c>
      <c r="T4" s="20" t="s">
        <v>480</v>
      </c>
      <c r="U4" s="20" t="s">
        <v>421</v>
      </c>
      <c r="V4" s="20" t="s">
        <v>401</v>
      </c>
      <c r="W4" s="20" t="s">
        <v>401</v>
      </c>
      <c r="X4" s="20" t="s">
        <v>454</v>
      </c>
      <c r="Y4" s="20" t="s">
        <v>481</v>
      </c>
      <c r="Z4" s="20" t="s">
        <v>421</v>
      </c>
      <c r="AA4" s="20" t="s">
        <v>475</v>
      </c>
      <c r="AB4" s="20" t="s">
        <v>421</v>
      </c>
      <c r="AC4" s="20" t="s">
        <v>452</v>
      </c>
      <c r="AD4" s="20" t="s">
        <v>475</v>
      </c>
      <c r="AE4" s="20" t="s">
        <v>475</v>
      </c>
      <c r="AF4" s="20" t="s">
        <v>479</v>
      </c>
      <c r="AG4" s="20" t="s">
        <v>447</v>
      </c>
      <c r="AH4" s="20" t="s">
        <v>401</v>
      </c>
      <c r="AI4" s="20" t="s">
        <v>421</v>
      </c>
      <c r="AJ4" s="20" t="s">
        <v>421</v>
      </c>
      <c r="AK4" s="20" t="s">
        <v>482</v>
      </c>
      <c r="AL4" s="20" t="s">
        <v>482</v>
      </c>
      <c r="AM4" s="20" t="s">
        <v>421</v>
      </c>
      <c r="AN4" s="20" t="s">
        <v>483</v>
      </c>
      <c r="AO4" s="20" t="s">
        <v>483</v>
      </c>
      <c r="AP4" s="20" t="s">
        <v>438</v>
      </c>
      <c r="AQ4" s="20" t="s">
        <v>482</v>
      </c>
      <c r="AR4" s="20" t="s">
        <v>484</v>
      </c>
      <c r="AS4" s="20" t="s">
        <v>483</v>
      </c>
      <c r="AT4" s="20" t="s">
        <v>485</v>
      </c>
      <c r="AU4" s="20" t="s">
        <v>485</v>
      </c>
      <c r="AV4" s="20" t="s">
        <v>486</v>
      </c>
      <c r="AW4" s="20" t="s">
        <v>426</v>
      </c>
      <c r="AX4" s="20" t="s">
        <v>426</v>
      </c>
      <c r="AY4" s="20" t="s">
        <v>426</v>
      </c>
      <c r="AZ4" s="20" t="s">
        <v>426</v>
      </c>
      <c r="BA4" s="20" t="s">
        <v>438</v>
      </c>
      <c r="BB4" s="20" t="s">
        <v>421</v>
      </c>
      <c r="BC4" s="20" t="s">
        <v>475</v>
      </c>
      <c r="BD4" s="20" t="s">
        <v>475</v>
      </c>
      <c r="BE4" s="20" t="s">
        <v>427</v>
      </c>
      <c r="BF4" s="20" t="s">
        <v>483</v>
      </c>
      <c r="BG4" s="20" t="s">
        <v>427</v>
      </c>
      <c r="BH4" s="20" t="s">
        <v>456</v>
      </c>
      <c r="BI4" s="20" t="s">
        <v>487</v>
      </c>
      <c r="BJ4" s="20" t="s">
        <v>483</v>
      </c>
      <c r="BK4" s="20" t="s">
        <v>449</v>
      </c>
      <c r="BL4" s="20" t="s">
        <v>449</v>
      </c>
      <c r="BM4" s="20" t="s">
        <v>425</v>
      </c>
      <c r="BN4" s="20" t="s">
        <v>488</v>
      </c>
      <c r="BO4" s="20" t="s">
        <v>427</v>
      </c>
      <c r="BP4" s="20" t="s">
        <v>489</v>
      </c>
      <c r="BQ4" s="20" t="s">
        <v>426</v>
      </c>
      <c r="BR4" s="20" t="s">
        <v>401</v>
      </c>
      <c r="BS4" s="20" t="s">
        <v>427</v>
      </c>
      <c r="BT4" s="20" t="s">
        <v>454</v>
      </c>
      <c r="BU4" s="20" t="s">
        <v>426</v>
      </c>
      <c r="BV4" s="20" t="s">
        <v>475</v>
      </c>
      <c r="BW4" s="20" t="s">
        <v>403</v>
      </c>
      <c r="BX4" s="20" t="s">
        <v>429</v>
      </c>
      <c r="BY4" s="20" t="s">
        <v>429</v>
      </c>
      <c r="BZ4" s="20" t="s">
        <v>490</v>
      </c>
      <c r="CA4" s="20" t="s">
        <v>429</v>
      </c>
      <c r="CB4" s="20" t="s">
        <v>429</v>
      </c>
      <c r="CC4" s="20" t="s">
        <v>491</v>
      </c>
      <c r="CF4" s="20" t="s">
        <v>492</v>
      </c>
      <c r="CG4" s="20" t="s">
        <v>427</v>
      </c>
      <c r="CH4" s="20" t="s">
        <v>429</v>
      </c>
      <c r="CI4" s="20" t="s">
        <v>427</v>
      </c>
      <c r="CJ4" s="20" t="s">
        <v>401</v>
      </c>
      <c r="CK4" s="20" t="s">
        <v>427</v>
      </c>
      <c r="CL4" s="20" t="s">
        <v>429</v>
      </c>
      <c r="CM4" s="20" t="s">
        <v>429</v>
      </c>
      <c r="CN4" s="20" t="s">
        <v>429</v>
      </c>
      <c r="CO4" s="20" t="s">
        <v>493</v>
      </c>
      <c r="CP4" s="20" t="s">
        <v>401</v>
      </c>
      <c r="CQ4" s="20" t="s">
        <v>494</v>
      </c>
      <c r="CR4" s="20" t="s">
        <v>495</v>
      </c>
      <c r="CS4" s="20" t="s">
        <v>452</v>
      </c>
      <c r="CT4" s="20" t="s">
        <v>459</v>
      </c>
      <c r="CU4" s="20" t="s">
        <v>482</v>
      </c>
      <c r="CV4" s="20" t="s">
        <v>429</v>
      </c>
      <c r="CW4" s="20" t="s">
        <v>425</v>
      </c>
      <c r="CX4" s="20" t="s">
        <v>475</v>
      </c>
      <c r="CY4" s="20" t="s">
        <v>496</v>
      </c>
      <c r="CZ4" s="20" t="s">
        <v>486</v>
      </c>
      <c r="DA4" s="20" t="s">
        <v>421</v>
      </c>
      <c r="DB4" s="20" t="s">
        <v>459</v>
      </c>
      <c r="DC4" s="20" t="s">
        <v>497</v>
      </c>
      <c r="DD4" s="20" t="s">
        <v>497</v>
      </c>
      <c r="DE4" s="20" t="s">
        <v>497</v>
      </c>
      <c r="DF4" s="20" t="s">
        <v>497</v>
      </c>
      <c r="DG4" s="20" t="s">
        <v>497</v>
      </c>
      <c r="DH4" s="20" t="s">
        <v>497</v>
      </c>
      <c r="DI4" s="20" t="s">
        <v>497</v>
      </c>
      <c r="DJ4" s="20" t="s">
        <v>497</v>
      </c>
      <c r="DK4" s="20" t="s">
        <v>497</v>
      </c>
      <c r="DL4" s="20" t="s">
        <v>497</v>
      </c>
      <c r="DM4" s="20" t="s">
        <v>497</v>
      </c>
      <c r="DN4" s="20" t="s">
        <v>497</v>
      </c>
      <c r="DO4" s="20" t="s">
        <v>497</v>
      </c>
      <c r="DP4" s="20" t="s">
        <v>497</v>
      </c>
      <c r="DQ4" s="20" t="s">
        <v>497</v>
      </c>
      <c r="DR4" s="20" t="s">
        <v>497</v>
      </c>
      <c r="DS4" s="20" t="s">
        <v>497</v>
      </c>
      <c r="DT4" s="20" t="s">
        <v>497</v>
      </c>
      <c r="DW4" s="20" t="s">
        <v>498</v>
      </c>
      <c r="DX4" s="20" t="s">
        <v>498</v>
      </c>
      <c r="DY4" s="20" t="s">
        <v>498</v>
      </c>
      <c r="DZ4" s="20" t="s">
        <v>498</v>
      </c>
      <c r="EA4" s="20" t="s">
        <v>498</v>
      </c>
      <c r="EB4" s="20" t="s">
        <v>498</v>
      </c>
      <c r="EC4" s="20" t="s">
        <v>498</v>
      </c>
      <c r="ED4" s="20" t="s">
        <v>498</v>
      </c>
      <c r="EE4" s="20" t="s">
        <v>498</v>
      </c>
      <c r="EF4" s="20" t="s">
        <v>498</v>
      </c>
      <c r="EG4" s="20" t="s">
        <v>499</v>
      </c>
      <c r="EH4" s="20" t="s">
        <v>499</v>
      </c>
      <c r="EI4" s="20" t="s">
        <v>499</v>
      </c>
      <c r="EJ4" s="20" t="s">
        <v>499</v>
      </c>
      <c r="EK4" s="20" t="s">
        <v>499</v>
      </c>
      <c r="EL4" s="20" t="s">
        <v>500</v>
      </c>
      <c r="EM4" s="20" t="s">
        <v>499</v>
      </c>
      <c r="EN4" s="20" t="s">
        <v>499</v>
      </c>
      <c r="EO4" s="20" t="s">
        <v>499</v>
      </c>
      <c r="EP4" s="20" t="s">
        <v>499</v>
      </c>
    </row>
    <row r="5" spans="1:146" x14ac:dyDescent="0.3">
      <c r="C5" s="20" t="s">
        <v>501</v>
      </c>
      <c r="D5" s="20" t="s">
        <v>502</v>
      </c>
      <c r="E5" s="20" t="s">
        <v>257</v>
      </c>
      <c r="F5" s="20" t="s">
        <v>495</v>
      </c>
      <c r="G5" s="20" t="s">
        <v>471</v>
      </c>
      <c r="H5" s="20" t="s">
        <v>452</v>
      </c>
      <c r="I5" s="20" t="s">
        <v>503</v>
      </c>
      <c r="J5" s="20" t="s">
        <v>504</v>
      </c>
      <c r="K5" s="20" t="s">
        <v>505</v>
      </c>
      <c r="L5" s="20" t="s">
        <v>505</v>
      </c>
      <c r="M5" s="20" t="s">
        <v>506</v>
      </c>
      <c r="N5" s="20" t="s">
        <v>438</v>
      </c>
      <c r="O5" s="20" t="s">
        <v>438</v>
      </c>
      <c r="P5" s="20" t="s">
        <v>507</v>
      </c>
      <c r="Q5" s="20" t="s">
        <v>508</v>
      </c>
      <c r="R5" s="20" t="s">
        <v>509</v>
      </c>
      <c r="S5" s="20" t="s">
        <v>495</v>
      </c>
      <c r="T5" s="20" t="s">
        <v>495</v>
      </c>
      <c r="U5" s="20" t="s">
        <v>438</v>
      </c>
      <c r="V5" s="20" t="s">
        <v>438</v>
      </c>
      <c r="W5" s="20" t="s">
        <v>438</v>
      </c>
      <c r="X5" s="20" t="s">
        <v>452</v>
      </c>
      <c r="Y5" s="20" t="s">
        <v>452</v>
      </c>
      <c r="Z5" s="20" t="s">
        <v>438</v>
      </c>
      <c r="AA5" s="20" t="s">
        <v>505</v>
      </c>
      <c r="AB5" s="20" t="s">
        <v>438</v>
      </c>
      <c r="AC5" s="20" t="s">
        <v>510</v>
      </c>
      <c r="AD5" s="20" t="s">
        <v>505</v>
      </c>
      <c r="AE5" s="20" t="s">
        <v>505</v>
      </c>
      <c r="AF5" s="20" t="s">
        <v>511</v>
      </c>
      <c r="AG5" s="20" t="s">
        <v>512</v>
      </c>
      <c r="AH5" s="20" t="s">
        <v>438</v>
      </c>
      <c r="AI5" s="20" t="s">
        <v>425</v>
      </c>
      <c r="AJ5" s="20" t="s">
        <v>425</v>
      </c>
      <c r="AK5" s="20" t="s">
        <v>425</v>
      </c>
      <c r="AL5" s="20" t="s">
        <v>425</v>
      </c>
      <c r="AM5" s="20" t="s">
        <v>513</v>
      </c>
      <c r="AN5" s="20" t="s">
        <v>514</v>
      </c>
      <c r="AO5" s="20" t="s">
        <v>514</v>
      </c>
      <c r="AP5" s="20" t="s">
        <v>513</v>
      </c>
      <c r="AQ5" s="20" t="s">
        <v>438</v>
      </c>
      <c r="AR5" s="20" t="s">
        <v>515</v>
      </c>
      <c r="AS5" s="20" t="s">
        <v>516</v>
      </c>
      <c r="AT5" s="20" t="s">
        <v>438</v>
      </c>
      <c r="AU5" s="20" t="s">
        <v>438</v>
      </c>
      <c r="AV5" s="20" t="s">
        <v>459</v>
      </c>
      <c r="AW5" s="20" t="s">
        <v>495</v>
      </c>
      <c r="AX5" s="20" t="s">
        <v>427</v>
      </c>
      <c r="AY5" s="20" t="s">
        <v>427</v>
      </c>
      <c r="AZ5" s="20" t="s">
        <v>427</v>
      </c>
      <c r="BA5" s="20" t="s">
        <v>517</v>
      </c>
      <c r="BB5" s="20" t="s">
        <v>438</v>
      </c>
      <c r="BC5" s="20" t="s">
        <v>505</v>
      </c>
      <c r="BD5" s="20" t="s">
        <v>505</v>
      </c>
      <c r="BE5" s="20" t="s">
        <v>518</v>
      </c>
      <c r="BF5" s="20" t="s">
        <v>519</v>
      </c>
      <c r="BG5" s="20" t="s">
        <v>518</v>
      </c>
      <c r="BH5" s="20" t="s">
        <v>519</v>
      </c>
      <c r="BI5" s="20" t="s">
        <v>483</v>
      </c>
      <c r="BJ5" s="20" t="s">
        <v>520</v>
      </c>
      <c r="BK5" s="20" t="s">
        <v>521</v>
      </c>
      <c r="BL5" s="20" t="s">
        <v>521</v>
      </c>
      <c r="BM5" s="20" t="s">
        <v>522</v>
      </c>
      <c r="BN5" s="20" t="s">
        <v>523</v>
      </c>
      <c r="BO5" s="20" t="s">
        <v>518</v>
      </c>
      <c r="BP5" s="20" t="s">
        <v>483</v>
      </c>
      <c r="BQ5" s="20" t="s">
        <v>452</v>
      </c>
      <c r="BR5" s="20" t="s">
        <v>438</v>
      </c>
      <c r="BS5" s="20" t="s">
        <v>518</v>
      </c>
      <c r="BT5" s="20" t="s">
        <v>425</v>
      </c>
      <c r="BU5" s="20" t="s">
        <v>452</v>
      </c>
      <c r="BV5" s="20" t="s">
        <v>505</v>
      </c>
      <c r="BW5" s="20" t="s">
        <v>451</v>
      </c>
      <c r="BX5" s="20" t="s">
        <v>401</v>
      </c>
      <c r="BY5" s="20" t="s">
        <v>401</v>
      </c>
      <c r="BZ5" s="20" t="s">
        <v>524</v>
      </c>
      <c r="CA5" s="20" t="s">
        <v>438</v>
      </c>
      <c r="CB5" s="20" t="s">
        <v>438</v>
      </c>
      <c r="CC5" s="20" t="s">
        <v>525</v>
      </c>
      <c r="CF5" s="20" t="s">
        <v>526</v>
      </c>
      <c r="CG5" s="20" t="s">
        <v>486</v>
      </c>
      <c r="CH5" s="20" t="s">
        <v>438</v>
      </c>
      <c r="CI5" s="20" t="s">
        <v>486</v>
      </c>
      <c r="CJ5" s="20" t="s">
        <v>438</v>
      </c>
      <c r="CK5" s="20" t="s">
        <v>486</v>
      </c>
      <c r="CL5" s="20" t="s">
        <v>438</v>
      </c>
      <c r="CM5" s="20" t="s">
        <v>438</v>
      </c>
      <c r="CN5" s="20" t="s">
        <v>438</v>
      </c>
      <c r="CO5" s="20" t="s">
        <v>527</v>
      </c>
      <c r="CP5" s="20" t="s">
        <v>438</v>
      </c>
      <c r="CQ5" s="20" t="s">
        <v>528</v>
      </c>
      <c r="CR5" s="20" t="s">
        <v>457</v>
      </c>
      <c r="CS5" s="20" t="s">
        <v>486</v>
      </c>
      <c r="CT5" s="20" t="s">
        <v>493</v>
      </c>
      <c r="CU5" s="20" t="s">
        <v>483</v>
      </c>
      <c r="CV5" s="20" t="s">
        <v>438</v>
      </c>
      <c r="CW5" s="20" t="s">
        <v>456</v>
      </c>
      <c r="CX5" s="20" t="s">
        <v>505</v>
      </c>
      <c r="CY5" s="20" t="s">
        <v>483</v>
      </c>
      <c r="CZ5" s="20" t="s">
        <v>529</v>
      </c>
      <c r="DA5" s="20" t="s">
        <v>486</v>
      </c>
      <c r="DB5" s="20" t="s">
        <v>518</v>
      </c>
      <c r="DC5" s="20" t="s">
        <v>530</v>
      </c>
      <c r="DD5" s="20" t="s">
        <v>530</v>
      </c>
      <c r="DE5" s="20" t="s">
        <v>530</v>
      </c>
      <c r="DF5" s="20" t="s">
        <v>530</v>
      </c>
      <c r="DG5" s="20" t="s">
        <v>530</v>
      </c>
      <c r="DH5" s="20" t="s">
        <v>530</v>
      </c>
      <c r="DI5" s="20" t="s">
        <v>530</v>
      </c>
      <c r="DJ5" s="20" t="s">
        <v>530</v>
      </c>
      <c r="DK5" s="20" t="s">
        <v>530</v>
      </c>
      <c r="DL5" s="20" t="s">
        <v>530</v>
      </c>
      <c r="DM5" s="20" t="s">
        <v>530</v>
      </c>
      <c r="DN5" s="20" t="s">
        <v>530</v>
      </c>
      <c r="DO5" s="20" t="s">
        <v>530</v>
      </c>
      <c r="DP5" s="20" t="s">
        <v>530</v>
      </c>
      <c r="DQ5" s="20" t="s">
        <v>530</v>
      </c>
      <c r="DR5" s="20" t="s">
        <v>530</v>
      </c>
      <c r="DS5" s="20" t="s">
        <v>530</v>
      </c>
      <c r="DT5" s="20" t="s">
        <v>530</v>
      </c>
      <c r="DW5" s="20" t="s">
        <v>530</v>
      </c>
      <c r="DX5" s="20" t="s">
        <v>530</v>
      </c>
      <c r="DY5" s="20" t="s">
        <v>530</v>
      </c>
      <c r="DZ5" s="20" t="s">
        <v>530</v>
      </c>
      <c r="EA5" s="20" t="s">
        <v>530</v>
      </c>
      <c r="EB5" s="20" t="s">
        <v>530</v>
      </c>
      <c r="EC5" s="20" t="s">
        <v>530</v>
      </c>
      <c r="ED5" s="20" t="s">
        <v>530</v>
      </c>
      <c r="EE5" s="20" t="s">
        <v>530</v>
      </c>
      <c r="EF5" s="20" t="s">
        <v>530</v>
      </c>
      <c r="EG5" s="20" t="s">
        <v>530</v>
      </c>
      <c r="EH5" s="20" t="s">
        <v>530</v>
      </c>
      <c r="EI5" s="20" t="s">
        <v>530</v>
      </c>
      <c r="EJ5" s="20" t="s">
        <v>530</v>
      </c>
      <c r="EK5" s="20" t="s">
        <v>530</v>
      </c>
      <c r="EL5" s="20" t="s">
        <v>530</v>
      </c>
      <c r="EM5" s="20" t="s">
        <v>530</v>
      </c>
      <c r="EN5" s="20" t="s">
        <v>530</v>
      </c>
      <c r="EO5" s="20" t="s">
        <v>530</v>
      </c>
      <c r="EP5" s="20" t="s">
        <v>530</v>
      </c>
    </row>
    <row r="6" spans="1:146" x14ac:dyDescent="0.3">
      <c r="D6" s="20" t="s">
        <v>531</v>
      </c>
      <c r="E6" s="20" t="s">
        <v>258</v>
      </c>
      <c r="F6" s="20" t="s">
        <v>532</v>
      </c>
      <c r="G6" s="20" t="s">
        <v>518</v>
      </c>
      <c r="H6" s="20" t="s">
        <v>518</v>
      </c>
      <c r="I6" s="20" t="s">
        <v>533</v>
      </c>
      <c r="J6" s="20" t="s">
        <v>438</v>
      </c>
      <c r="K6" s="20" t="s">
        <v>534</v>
      </c>
      <c r="L6" s="20" t="s">
        <v>534</v>
      </c>
      <c r="M6" s="20" t="s">
        <v>535</v>
      </c>
      <c r="N6" s="20" t="s">
        <v>488</v>
      </c>
      <c r="O6" s="20" t="s">
        <v>512</v>
      </c>
      <c r="P6" s="20" t="s">
        <v>536</v>
      </c>
      <c r="Q6" s="20" t="s">
        <v>537</v>
      </c>
      <c r="R6" s="20" t="s">
        <v>442</v>
      </c>
      <c r="S6" s="20" t="s">
        <v>538</v>
      </c>
      <c r="T6" s="20" t="s">
        <v>538</v>
      </c>
      <c r="U6" s="20" t="s">
        <v>513</v>
      </c>
      <c r="V6" s="20" t="s">
        <v>518</v>
      </c>
      <c r="W6" s="20" t="s">
        <v>518</v>
      </c>
      <c r="X6" s="20" t="s">
        <v>539</v>
      </c>
      <c r="Y6" s="20" t="s">
        <v>518</v>
      </c>
      <c r="Z6" s="20" t="s">
        <v>513</v>
      </c>
      <c r="AA6" s="20" t="s">
        <v>534</v>
      </c>
      <c r="AB6" s="20" t="s">
        <v>540</v>
      </c>
      <c r="AC6" s="20" t="s">
        <v>541</v>
      </c>
      <c r="AD6" s="20" t="s">
        <v>542</v>
      </c>
      <c r="AE6" s="20" t="s">
        <v>542</v>
      </c>
      <c r="AF6" s="20" t="s">
        <v>543</v>
      </c>
      <c r="AG6" s="20" t="s">
        <v>493</v>
      </c>
      <c r="AH6" s="20" t="s">
        <v>544</v>
      </c>
      <c r="AI6" s="20" t="s">
        <v>545</v>
      </c>
      <c r="AJ6" s="20" t="s">
        <v>545</v>
      </c>
      <c r="AK6" s="20" t="s">
        <v>546</v>
      </c>
      <c r="AL6" s="20" t="s">
        <v>546</v>
      </c>
      <c r="AM6" s="20" t="s">
        <v>547</v>
      </c>
      <c r="AN6" s="20" t="s">
        <v>511</v>
      </c>
      <c r="AO6" s="20" t="s">
        <v>511</v>
      </c>
      <c r="AP6" s="20" t="s">
        <v>548</v>
      </c>
      <c r="AQ6" s="20" t="s">
        <v>549</v>
      </c>
      <c r="AR6" s="20" t="s">
        <v>486</v>
      </c>
      <c r="AS6" s="20" t="s">
        <v>459</v>
      </c>
      <c r="AT6" s="20" t="s">
        <v>550</v>
      </c>
      <c r="AU6" s="20" t="s">
        <v>550</v>
      </c>
      <c r="AV6" s="20" t="s">
        <v>551</v>
      </c>
      <c r="AW6" s="20" t="s">
        <v>552</v>
      </c>
      <c r="AX6" s="20" t="s">
        <v>486</v>
      </c>
      <c r="AY6" s="20" t="s">
        <v>518</v>
      </c>
      <c r="AZ6" s="20" t="s">
        <v>518</v>
      </c>
      <c r="BA6" s="20" t="s">
        <v>544</v>
      </c>
      <c r="BB6" s="20" t="s">
        <v>459</v>
      </c>
      <c r="BC6" s="20" t="s">
        <v>518</v>
      </c>
      <c r="BD6" s="20" t="s">
        <v>518</v>
      </c>
      <c r="BE6" s="20" t="s">
        <v>553</v>
      </c>
      <c r="BF6" s="20" t="s">
        <v>511</v>
      </c>
      <c r="BG6" s="20" t="s">
        <v>553</v>
      </c>
      <c r="BH6" s="20" t="s">
        <v>554</v>
      </c>
      <c r="BI6" s="20" t="s">
        <v>526</v>
      </c>
      <c r="BJ6" s="20" t="s">
        <v>526</v>
      </c>
      <c r="BK6" s="20" t="s">
        <v>554</v>
      </c>
      <c r="BL6" s="20" t="s">
        <v>554</v>
      </c>
      <c r="BM6" s="20" t="s">
        <v>555</v>
      </c>
      <c r="BN6" s="20" t="s">
        <v>513</v>
      </c>
      <c r="BO6" s="20" t="s">
        <v>553</v>
      </c>
      <c r="BP6" s="20" t="s">
        <v>556</v>
      </c>
      <c r="BQ6" s="20" t="s">
        <v>552</v>
      </c>
      <c r="BR6" s="20" t="s">
        <v>518</v>
      </c>
      <c r="BS6" s="20" t="s">
        <v>553</v>
      </c>
      <c r="BT6" s="20" t="s">
        <v>456</v>
      </c>
      <c r="BU6" s="20" t="s">
        <v>552</v>
      </c>
      <c r="BV6" s="20" t="s">
        <v>518</v>
      </c>
      <c r="BW6" s="20" t="s">
        <v>415</v>
      </c>
      <c r="BX6" s="20" t="s">
        <v>557</v>
      </c>
      <c r="BY6" s="20" t="s">
        <v>557</v>
      </c>
      <c r="CA6" s="20" t="s">
        <v>557</v>
      </c>
      <c r="CB6" s="20" t="s">
        <v>486</v>
      </c>
      <c r="CC6" s="20" t="s">
        <v>519</v>
      </c>
      <c r="CG6" s="20" t="s">
        <v>538</v>
      </c>
      <c r="CH6" s="20" t="s">
        <v>527</v>
      </c>
      <c r="CI6" s="20" t="s">
        <v>538</v>
      </c>
      <c r="CJ6" s="20" t="s">
        <v>475</v>
      </c>
      <c r="CK6" s="20" t="s">
        <v>538</v>
      </c>
      <c r="CL6" s="20" t="s">
        <v>527</v>
      </c>
      <c r="CM6" s="20" t="s">
        <v>558</v>
      </c>
      <c r="CN6" s="20" t="s">
        <v>558</v>
      </c>
      <c r="CO6" s="20" t="s">
        <v>548</v>
      </c>
      <c r="CP6" s="20" t="s">
        <v>518</v>
      </c>
      <c r="CQ6" s="20" t="s">
        <v>518</v>
      </c>
      <c r="CR6" s="20" t="s">
        <v>492</v>
      </c>
      <c r="CS6" s="20" t="s">
        <v>492</v>
      </c>
      <c r="CT6" s="20" t="s">
        <v>527</v>
      </c>
      <c r="CU6" s="20" t="s">
        <v>559</v>
      </c>
      <c r="CV6" s="20" t="s">
        <v>557</v>
      </c>
      <c r="CW6" s="20" t="s">
        <v>560</v>
      </c>
      <c r="CX6" s="20" t="s">
        <v>561</v>
      </c>
      <c r="CY6" s="20" t="s">
        <v>543</v>
      </c>
      <c r="CZ6" s="20" t="s">
        <v>518</v>
      </c>
      <c r="DA6" s="20" t="s">
        <v>459</v>
      </c>
      <c r="DB6" s="20" t="s">
        <v>493</v>
      </c>
    </row>
    <row r="7" spans="1:146" x14ac:dyDescent="0.3">
      <c r="D7" s="20" t="s">
        <v>562</v>
      </c>
      <c r="E7" s="20" t="s">
        <v>259</v>
      </c>
      <c r="F7" s="20" t="s">
        <v>563</v>
      </c>
      <c r="G7" s="20" t="s">
        <v>564</v>
      </c>
      <c r="H7" s="20" t="s">
        <v>564</v>
      </c>
      <c r="I7" s="20" t="s">
        <v>565</v>
      </c>
      <c r="J7" s="20" t="s">
        <v>566</v>
      </c>
      <c r="K7" s="20" t="s">
        <v>566</v>
      </c>
      <c r="L7" s="20" t="s">
        <v>566</v>
      </c>
      <c r="M7" s="20" t="s">
        <v>567</v>
      </c>
      <c r="N7" s="20" t="s">
        <v>493</v>
      </c>
      <c r="O7" s="20" t="s">
        <v>459</v>
      </c>
      <c r="P7" s="20" t="s">
        <v>568</v>
      </c>
      <c r="Q7" s="20" t="s">
        <v>569</v>
      </c>
      <c r="R7" s="20" t="s">
        <v>478</v>
      </c>
      <c r="S7" s="20" t="s">
        <v>553</v>
      </c>
      <c r="T7" s="20" t="s">
        <v>553</v>
      </c>
      <c r="U7" s="20" t="s">
        <v>548</v>
      </c>
      <c r="V7" s="20" t="s">
        <v>493</v>
      </c>
      <c r="W7" s="20" t="s">
        <v>493</v>
      </c>
      <c r="X7" s="20" t="s">
        <v>553</v>
      </c>
      <c r="Y7" s="20" t="s">
        <v>538</v>
      </c>
      <c r="Z7" s="20" t="s">
        <v>548</v>
      </c>
      <c r="AA7" s="20" t="s">
        <v>566</v>
      </c>
      <c r="AB7" s="20" t="s">
        <v>570</v>
      </c>
      <c r="AC7" s="20" t="s">
        <v>571</v>
      </c>
      <c r="AD7" s="20" t="s">
        <v>572</v>
      </c>
      <c r="AE7" s="20" t="s">
        <v>572</v>
      </c>
      <c r="AF7" s="20" t="s">
        <v>573</v>
      </c>
      <c r="AG7" s="20" t="s">
        <v>574</v>
      </c>
      <c r="AH7" s="20" t="s">
        <v>548</v>
      </c>
      <c r="AI7" s="20" t="s">
        <v>491</v>
      </c>
      <c r="AJ7" s="20" t="s">
        <v>491</v>
      </c>
      <c r="AK7" s="20" t="s">
        <v>491</v>
      </c>
      <c r="AL7" s="20" t="s">
        <v>491</v>
      </c>
      <c r="AM7" s="20" t="s">
        <v>526</v>
      </c>
      <c r="AN7" s="20" t="s">
        <v>547</v>
      </c>
      <c r="AO7" s="20" t="s">
        <v>547</v>
      </c>
      <c r="AP7" s="20" t="s">
        <v>574</v>
      </c>
      <c r="AQ7" s="20" t="s">
        <v>566</v>
      </c>
      <c r="AR7" s="20" t="s">
        <v>575</v>
      </c>
      <c r="AS7" s="20" t="s">
        <v>526</v>
      </c>
      <c r="AT7" s="20" t="s">
        <v>459</v>
      </c>
      <c r="AU7" s="20" t="s">
        <v>459</v>
      </c>
      <c r="AV7" s="20" t="s">
        <v>523</v>
      </c>
      <c r="AW7" s="20" t="s">
        <v>457</v>
      </c>
      <c r="AX7" s="20" t="s">
        <v>538</v>
      </c>
      <c r="AY7" s="20" t="s">
        <v>457</v>
      </c>
      <c r="AZ7" s="20" t="s">
        <v>457</v>
      </c>
      <c r="BA7" s="20" t="s">
        <v>548</v>
      </c>
      <c r="BB7" s="20" t="s">
        <v>551</v>
      </c>
      <c r="BC7" s="20" t="s">
        <v>523</v>
      </c>
      <c r="BD7" s="20" t="s">
        <v>523</v>
      </c>
      <c r="BE7" s="20" t="s">
        <v>576</v>
      </c>
      <c r="BF7" s="20" t="s">
        <v>526</v>
      </c>
      <c r="BG7" s="20" t="s">
        <v>576</v>
      </c>
      <c r="BH7" s="20" t="s">
        <v>526</v>
      </c>
      <c r="BI7" s="20" t="s">
        <v>577</v>
      </c>
      <c r="BJ7" s="20" t="s">
        <v>577</v>
      </c>
      <c r="BK7" s="20" t="s">
        <v>526</v>
      </c>
      <c r="BL7" s="20" t="s">
        <v>526</v>
      </c>
      <c r="BM7" s="20" t="s">
        <v>543</v>
      </c>
      <c r="BN7" s="20" t="s">
        <v>519</v>
      </c>
      <c r="BO7" s="20" t="s">
        <v>576</v>
      </c>
      <c r="BP7" s="20" t="s">
        <v>524</v>
      </c>
      <c r="BQ7" s="20" t="s">
        <v>457</v>
      </c>
      <c r="BR7" s="20" t="s">
        <v>493</v>
      </c>
      <c r="BS7" s="20" t="s">
        <v>576</v>
      </c>
      <c r="BT7" s="20" t="s">
        <v>526</v>
      </c>
      <c r="BU7" s="20" t="s">
        <v>457</v>
      </c>
      <c r="BV7" s="20" t="s">
        <v>493</v>
      </c>
      <c r="BW7" s="20" t="s">
        <v>578</v>
      </c>
      <c r="BX7" s="20" t="s">
        <v>475</v>
      </c>
      <c r="BY7" s="20" t="s">
        <v>475</v>
      </c>
      <c r="CA7" s="20" t="s">
        <v>505</v>
      </c>
      <c r="CB7" s="20" t="s">
        <v>459</v>
      </c>
      <c r="CC7" s="20" t="s">
        <v>554</v>
      </c>
      <c r="CG7" s="20" t="s">
        <v>579</v>
      </c>
      <c r="CH7" s="20" t="s">
        <v>548</v>
      </c>
      <c r="CI7" s="20" t="s">
        <v>579</v>
      </c>
      <c r="CJ7" s="20" t="s">
        <v>505</v>
      </c>
      <c r="CK7" s="20" t="s">
        <v>579</v>
      </c>
      <c r="CL7" s="20" t="s">
        <v>548</v>
      </c>
      <c r="CM7" s="20" t="s">
        <v>459</v>
      </c>
      <c r="CN7" s="20" t="s">
        <v>459</v>
      </c>
      <c r="CO7" s="20" t="s">
        <v>526</v>
      </c>
      <c r="CP7" s="20" t="s">
        <v>555</v>
      </c>
      <c r="CQ7" s="20" t="s">
        <v>493</v>
      </c>
      <c r="CR7" s="20" t="s">
        <v>576</v>
      </c>
      <c r="CS7" s="20" t="s">
        <v>579</v>
      </c>
      <c r="CT7" s="20" t="s">
        <v>548</v>
      </c>
      <c r="CU7" s="20" t="s">
        <v>539</v>
      </c>
      <c r="CV7" s="20" t="s">
        <v>505</v>
      </c>
      <c r="CW7" s="20" t="s">
        <v>580</v>
      </c>
      <c r="CX7" s="20" t="s">
        <v>581</v>
      </c>
      <c r="CY7" s="20" t="s">
        <v>524</v>
      </c>
      <c r="CZ7" s="20" t="s">
        <v>579</v>
      </c>
      <c r="DA7" s="20" t="s">
        <v>570</v>
      </c>
      <c r="DB7" s="20" t="s">
        <v>579</v>
      </c>
    </row>
    <row r="8" spans="1:146" x14ac:dyDescent="0.3">
      <c r="D8" s="20" t="s">
        <v>582</v>
      </c>
      <c r="E8" s="20" t="s">
        <v>260</v>
      </c>
    </row>
    <row r="9" spans="1:146" x14ac:dyDescent="0.3">
      <c r="D9" s="20" t="s">
        <v>583</v>
      </c>
      <c r="E9" s="20" t="s">
        <v>261</v>
      </c>
    </row>
    <row r="10" spans="1:146" x14ac:dyDescent="0.3">
      <c r="D10" s="20" t="s">
        <v>584</v>
      </c>
      <c r="E10" s="20" t="s">
        <v>262</v>
      </c>
    </row>
    <row r="11" spans="1:146" x14ac:dyDescent="0.3">
      <c r="D11" s="20" t="s">
        <v>585</v>
      </c>
      <c r="E11" s="20" t="s">
        <v>263</v>
      </c>
    </row>
    <row r="12" spans="1:146" x14ac:dyDescent="0.3">
      <c r="D12" s="20" t="s">
        <v>586</v>
      </c>
      <c r="E12" s="20" t="s">
        <v>264</v>
      </c>
    </row>
    <row r="13" spans="1:146" x14ac:dyDescent="0.3">
      <c r="D13" s="20" t="s">
        <v>587</v>
      </c>
      <c r="E13" s="20" t="s">
        <v>265</v>
      </c>
    </row>
    <row r="14" spans="1:146" x14ac:dyDescent="0.3">
      <c r="D14" s="20" t="s">
        <v>588</v>
      </c>
      <c r="E14" s="20" t="s">
        <v>266</v>
      </c>
    </row>
    <row r="15" spans="1:146" x14ac:dyDescent="0.3">
      <c r="D15" s="20" t="s">
        <v>589</v>
      </c>
      <c r="E15" s="20" t="s">
        <v>267</v>
      </c>
    </row>
    <row r="16" spans="1:146" x14ac:dyDescent="0.3">
      <c r="D16" s="20" t="s">
        <v>590</v>
      </c>
      <c r="E16" s="20" t="s">
        <v>268</v>
      </c>
    </row>
    <row r="17" spans="4:5" x14ac:dyDescent="0.3">
      <c r="D17" s="20" t="s">
        <v>591</v>
      </c>
      <c r="E17" s="20" t="s">
        <v>269</v>
      </c>
    </row>
    <row r="18" spans="4:5" x14ac:dyDescent="0.3">
      <c r="D18" s="20" t="s">
        <v>592</v>
      </c>
      <c r="E18" s="20" t="s">
        <v>270</v>
      </c>
    </row>
    <row r="19" spans="4:5" x14ac:dyDescent="0.3">
      <c r="D19" s="20" t="s">
        <v>593</v>
      </c>
      <c r="E19" s="20" t="s">
        <v>271</v>
      </c>
    </row>
    <row r="20" spans="4:5" x14ac:dyDescent="0.3">
      <c r="D20" s="20" t="s">
        <v>594</v>
      </c>
      <c r="E20" s="20" t="s">
        <v>272</v>
      </c>
    </row>
    <row r="21" spans="4:5" x14ac:dyDescent="0.3">
      <c r="D21" s="20" t="s">
        <v>595</v>
      </c>
      <c r="E21" s="20" t="s">
        <v>273</v>
      </c>
    </row>
    <row r="22" spans="4:5" x14ac:dyDescent="0.3">
      <c r="D22" s="20" t="s">
        <v>596</v>
      </c>
      <c r="E22" s="20" t="s">
        <v>274</v>
      </c>
    </row>
    <row r="23" spans="4:5" x14ac:dyDescent="0.3">
      <c r="D23" s="20" t="s">
        <v>597</v>
      </c>
      <c r="E23" s="20" t="s">
        <v>275</v>
      </c>
    </row>
    <row r="24" spans="4:5" x14ac:dyDescent="0.3">
      <c r="D24" s="20" t="s">
        <v>598</v>
      </c>
      <c r="E24" s="20" t="s">
        <v>276</v>
      </c>
    </row>
    <row r="25" spans="4:5" x14ac:dyDescent="0.3">
      <c r="D25" s="20" t="s">
        <v>599</v>
      </c>
      <c r="E25" s="20" t="s">
        <v>277</v>
      </c>
    </row>
    <row r="26" spans="4:5" x14ac:dyDescent="0.3">
      <c r="D26" s="20" t="s">
        <v>600</v>
      </c>
      <c r="E26" s="20" t="s">
        <v>278</v>
      </c>
    </row>
    <row r="27" spans="4:5" x14ac:dyDescent="0.3">
      <c r="D27" s="20" t="s">
        <v>601</v>
      </c>
      <c r="E27" s="20" t="s">
        <v>279</v>
      </c>
    </row>
    <row r="28" spans="4:5" x14ac:dyDescent="0.3">
      <c r="D28" s="20" t="s">
        <v>602</v>
      </c>
      <c r="E28" s="20" t="s">
        <v>280</v>
      </c>
    </row>
    <row r="29" spans="4:5" x14ac:dyDescent="0.3">
      <c r="D29" s="20" t="s">
        <v>603</v>
      </c>
      <c r="E29" s="20" t="s">
        <v>281</v>
      </c>
    </row>
    <row r="30" spans="4:5" x14ac:dyDescent="0.3">
      <c r="D30" s="20" t="s">
        <v>604</v>
      </c>
      <c r="E30" s="20" t="s">
        <v>282</v>
      </c>
    </row>
    <row r="31" spans="4:5" x14ac:dyDescent="0.3">
      <c r="D31" s="20" t="s">
        <v>605</v>
      </c>
      <c r="E31" s="20" t="s">
        <v>283</v>
      </c>
    </row>
    <row r="32" spans="4:5" x14ac:dyDescent="0.3">
      <c r="D32" s="20" t="s">
        <v>606</v>
      </c>
      <c r="E32" s="20" t="s">
        <v>284</v>
      </c>
    </row>
    <row r="33" spans="4:5" x14ac:dyDescent="0.3">
      <c r="D33" s="20" t="s">
        <v>607</v>
      </c>
      <c r="E33" s="20" t="s">
        <v>285</v>
      </c>
    </row>
    <row r="34" spans="4:5" x14ac:dyDescent="0.3">
      <c r="D34" s="20" t="s">
        <v>608</v>
      </c>
      <c r="E34" s="20" t="s">
        <v>286</v>
      </c>
    </row>
    <row r="35" spans="4:5" x14ac:dyDescent="0.3">
      <c r="D35" s="20" t="s">
        <v>609</v>
      </c>
      <c r="E35" s="20" t="s">
        <v>287</v>
      </c>
    </row>
    <row r="36" spans="4:5" x14ac:dyDescent="0.3">
      <c r="D36" s="20" t="s">
        <v>610</v>
      </c>
      <c r="E36" s="20" t="s">
        <v>288</v>
      </c>
    </row>
    <row r="37" spans="4:5" x14ac:dyDescent="0.3">
      <c r="D37" s="20" t="s">
        <v>611</v>
      </c>
      <c r="E37" s="20" t="s">
        <v>289</v>
      </c>
    </row>
    <row r="38" spans="4:5" x14ac:dyDescent="0.3">
      <c r="D38" s="20" t="s">
        <v>612</v>
      </c>
      <c r="E38" s="20" t="s">
        <v>290</v>
      </c>
    </row>
    <row r="39" spans="4:5" x14ac:dyDescent="0.3">
      <c r="D39" s="20" t="s">
        <v>613</v>
      </c>
      <c r="E39" s="20" t="s">
        <v>291</v>
      </c>
    </row>
    <row r="40" spans="4:5" x14ac:dyDescent="0.3">
      <c r="D40" s="20" t="s">
        <v>614</v>
      </c>
      <c r="E40" s="20" t="s">
        <v>292</v>
      </c>
    </row>
    <row r="41" spans="4:5" x14ac:dyDescent="0.3">
      <c r="D41" s="20" t="s">
        <v>615</v>
      </c>
      <c r="E41" s="20" t="s">
        <v>293</v>
      </c>
    </row>
    <row r="42" spans="4:5" x14ac:dyDescent="0.3">
      <c r="D42" s="20" t="s">
        <v>616</v>
      </c>
      <c r="E42" s="20" t="s">
        <v>294</v>
      </c>
    </row>
    <row r="43" spans="4:5" x14ac:dyDescent="0.3">
      <c r="D43" s="20" t="s">
        <v>617</v>
      </c>
      <c r="E43" s="20" t="s">
        <v>295</v>
      </c>
    </row>
    <row r="44" spans="4:5" x14ac:dyDescent="0.3">
      <c r="D44" s="20" t="s">
        <v>618</v>
      </c>
      <c r="E44" s="20" t="s">
        <v>296</v>
      </c>
    </row>
    <row r="45" spans="4:5" x14ac:dyDescent="0.3">
      <c r="D45" s="20" t="s">
        <v>619</v>
      </c>
      <c r="E45" s="20" t="s">
        <v>297</v>
      </c>
    </row>
    <row r="46" spans="4:5" x14ac:dyDescent="0.3">
      <c r="D46" s="20" t="s">
        <v>620</v>
      </c>
      <c r="E46" s="20" t="s">
        <v>298</v>
      </c>
    </row>
    <row r="47" spans="4:5" x14ac:dyDescent="0.3">
      <c r="D47" s="20" t="s">
        <v>621</v>
      </c>
      <c r="E47" s="20" t="s">
        <v>299</v>
      </c>
    </row>
    <row r="48" spans="4:5" x14ac:dyDescent="0.3">
      <c r="D48" s="20" t="s">
        <v>622</v>
      </c>
      <c r="E48" s="20" t="s">
        <v>300</v>
      </c>
    </row>
    <row r="49" spans="4:5" x14ac:dyDescent="0.3">
      <c r="D49" s="20" t="s">
        <v>623</v>
      </c>
      <c r="E49" s="20" t="s">
        <v>301</v>
      </c>
    </row>
    <row r="50" spans="4:5" x14ac:dyDescent="0.3">
      <c r="D50" s="20" t="s">
        <v>624</v>
      </c>
      <c r="E50" s="20" t="s">
        <v>302</v>
      </c>
    </row>
    <row r="51" spans="4:5" x14ac:dyDescent="0.3">
      <c r="D51" s="20" t="s">
        <v>625</v>
      </c>
      <c r="E51" s="20" t="s">
        <v>303</v>
      </c>
    </row>
    <row r="52" spans="4:5" x14ac:dyDescent="0.3">
      <c r="D52" s="20" t="s">
        <v>626</v>
      </c>
      <c r="E52" s="20" t="s">
        <v>304</v>
      </c>
    </row>
    <row r="53" spans="4:5" x14ac:dyDescent="0.3">
      <c r="D53" s="20" t="s">
        <v>627</v>
      </c>
      <c r="E53" s="20" t="s">
        <v>305</v>
      </c>
    </row>
    <row r="54" spans="4:5" x14ac:dyDescent="0.3">
      <c r="D54" s="20" t="s">
        <v>628</v>
      </c>
      <c r="E54" s="20" t="s">
        <v>306</v>
      </c>
    </row>
    <row r="55" spans="4:5" x14ac:dyDescent="0.3">
      <c r="D55" s="20" t="s">
        <v>629</v>
      </c>
      <c r="E55" s="20" t="s">
        <v>307</v>
      </c>
    </row>
    <row r="56" spans="4:5" x14ac:dyDescent="0.3">
      <c r="D56" s="20" t="s">
        <v>630</v>
      </c>
      <c r="E56" s="20" t="s">
        <v>308</v>
      </c>
    </row>
    <row r="57" spans="4:5" x14ac:dyDescent="0.3">
      <c r="D57" s="20" t="s">
        <v>631</v>
      </c>
      <c r="E57" s="20" t="s">
        <v>309</v>
      </c>
    </row>
    <row r="58" spans="4:5" x14ac:dyDescent="0.3">
      <c r="D58" s="20" t="s">
        <v>632</v>
      </c>
      <c r="E58" s="20" t="s">
        <v>310</v>
      </c>
    </row>
    <row r="59" spans="4:5" x14ac:dyDescent="0.3">
      <c r="D59" s="20" t="s">
        <v>633</v>
      </c>
      <c r="E59" s="20" t="s">
        <v>311</v>
      </c>
    </row>
    <row r="60" spans="4:5" x14ac:dyDescent="0.3">
      <c r="D60" s="20" t="s">
        <v>634</v>
      </c>
      <c r="E60" s="20" t="s">
        <v>312</v>
      </c>
    </row>
    <row r="61" spans="4:5" x14ac:dyDescent="0.3">
      <c r="D61" s="20" t="s">
        <v>635</v>
      </c>
      <c r="E61" s="20" t="s">
        <v>313</v>
      </c>
    </row>
    <row r="62" spans="4:5" x14ac:dyDescent="0.3">
      <c r="D62" s="20" t="s">
        <v>636</v>
      </c>
      <c r="E62" s="20" t="s">
        <v>314</v>
      </c>
    </row>
    <row r="63" spans="4:5" x14ac:dyDescent="0.3">
      <c r="D63" s="20" t="s">
        <v>637</v>
      </c>
      <c r="E63" s="20" t="s">
        <v>315</v>
      </c>
    </row>
    <row r="64" spans="4:5" x14ac:dyDescent="0.3">
      <c r="D64" s="20" t="s">
        <v>638</v>
      </c>
      <c r="E64" s="20" t="s">
        <v>316</v>
      </c>
    </row>
    <row r="65" spans="4:5" x14ac:dyDescent="0.3">
      <c r="D65" s="20" t="s">
        <v>639</v>
      </c>
      <c r="E65" s="20" t="s">
        <v>317</v>
      </c>
    </row>
    <row r="66" spans="4:5" x14ac:dyDescent="0.3">
      <c r="D66" s="20" t="s">
        <v>640</v>
      </c>
      <c r="E66" s="20" t="s">
        <v>318</v>
      </c>
    </row>
    <row r="67" spans="4:5" x14ac:dyDescent="0.3">
      <c r="D67" s="20" t="s">
        <v>641</v>
      </c>
      <c r="E67" s="20" t="s">
        <v>319</v>
      </c>
    </row>
    <row r="68" spans="4:5" x14ac:dyDescent="0.3">
      <c r="D68" s="20" t="s">
        <v>642</v>
      </c>
      <c r="E68" s="20" t="s">
        <v>320</v>
      </c>
    </row>
    <row r="69" spans="4:5" x14ac:dyDescent="0.3">
      <c r="D69" s="20" t="s">
        <v>643</v>
      </c>
      <c r="E69" s="20" t="s">
        <v>321</v>
      </c>
    </row>
    <row r="70" spans="4:5" x14ac:dyDescent="0.3">
      <c r="D70" s="20" t="s">
        <v>644</v>
      </c>
      <c r="E70" s="20" t="s">
        <v>322</v>
      </c>
    </row>
    <row r="71" spans="4:5" x14ac:dyDescent="0.3">
      <c r="D71" s="20" t="s">
        <v>645</v>
      </c>
      <c r="E71" s="20" t="s">
        <v>323</v>
      </c>
    </row>
    <row r="72" spans="4:5" x14ac:dyDescent="0.3">
      <c r="D72" s="20" t="s">
        <v>646</v>
      </c>
      <c r="E72" s="20" t="s">
        <v>324</v>
      </c>
    </row>
    <row r="73" spans="4:5" x14ac:dyDescent="0.3">
      <c r="D73" s="20" t="s">
        <v>647</v>
      </c>
      <c r="E73" s="20" t="s">
        <v>325</v>
      </c>
    </row>
    <row r="74" spans="4:5" x14ac:dyDescent="0.3">
      <c r="D74" s="20" t="s">
        <v>648</v>
      </c>
      <c r="E74" s="20" t="s">
        <v>326</v>
      </c>
    </row>
    <row r="75" spans="4:5" x14ac:dyDescent="0.3">
      <c r="D75" s="20" t="s">
        <v>649</v>
      </c>
      <c r="E75" s="20" t="s">
        <v>327</v>
      </c>
    </row>
    <row r="76" spans="4:5" x14ac:dyDescent="0.3">
      <c r="D76" s="20" t="s">
        <v>650</v>
      </c>
      <c r="E76" s="20" t="s">
        <v>328</v>
      </c>
    </row>
    <row r="77" spans="4:5" x14ac:dyDescent="0.3">
      <c r="D77" s="20" t="s">
        <v>651</v>
      </c>
      <c r="E77" s="20" t="s">
        <v>329</v>
      </c>
    </row>
    <row r="78" spans="4:5" x14ac:dyDescent="0.3">
      <c r="D78" s="20" t="s">
        <v>652</v>
      </c>
      <c r="E78" s="20" t="s">
        <v>330</v>
      </c>
    </row>
    <row r="79" spans="4:5" x14ac:dyDescent="0.3">
      <c r="D79" s="20" t="s">
        <v>653</v>
      </c>
      <c r="E79" s="20" t="s">
        <v>331</v>
      </c>
    </row>
    <row r="80" spans="4:5" x14ac:dyDescent="0.3">
      <c r="D80" s="20" t="s">
        <v>654</v>
      </c>
      <c r="E80" s="20" t="s">
        <v>332</v>
      </c>
    </row>
    <row r="81" spans="4:5" x14ac:dyDescent="0.3">
      <c r="D81" s="20" t="s">
        <v>655</v>
      </c>
      <c r="E81" s="20" t="s">
        <v>333</v>
      </c>
    </row>
    <row r="82" spans="4:5" x14ac:dyDescent="0.3">
      <c r="D82" s="20" t="s">
        <v>656</v>
      </c>
      <c r="E82" s="20" t="s">
        <v>334</v>
      </c>
    </row>
    <row r="83" spans="4:5" x14ac:dyDescent="0.3">
      <c r="D83" s="20" t="s">
        <v>657</v>
      </c>
      <c r="E83" s="20" t="s">
        <v>335</v>
      </c>
    </row>
    <row r="84" spans="4:5" x14ac:dyDescent="0.3">
      <c r="D84" s="20" t="s">
        <v>658</v>
      </c>
      <c r="E84" s="20" t="s">
        <v>336</v>
      </c>
    </row>
    <row r="85" spans="4:5" x14ac:dyDescent="0.3">
      <c r="D85" s="20" t="s">
        <v>659</v>
      </c>
      <c r="E85" s="20" t="s">
        <v>337</v>
      </c>
    </row>
    <row r="86" spans="4:5" x14ac:dyDescent="0.3">
      <c r="D86" s="20" t="s">
        <v>660</v>
      </c>
      <c r="E86" s="20" t="s">
        <v>338</v>
      </c>
    </row>
    <row r="87" spans="4:5" x14ac:dyDescent="0.3">
      <c r="D87" s="20" t="s">
        <v>661</v>
      </c>
      <c r="E87" s="20" t="s">
        <v>339</v>
      </c>
    </row>
    <row r="88" spans="4:5" x14ac:dyDescent="0.3">
      <c r="D88" s="20" t="s">
        <v>662</v>
      </c>
      <c r="E88" s="20" t="s">
        <v>340</v>
      </c>
    </row>
    <row r="89" spans="4:5" x14ac:dyDescent="0.3">
      <c r="D89" s="20" t="s">
        <v>663</v>
      </c>
      <c r="E89" s="20" t="s">
        <v>341</v>
      </c>
    </row>
    <row r="90" spans="4:5" x14ac:dyDescent="0.3">
      <c r="D90" s="20" t="s">
        <v>664</v>
      </c>
      <c r="E90" s="20" t="s">
        <v>342</v>
      </c>
    </row>
    <row r="91" spans="4:5" x14ac:dyDescent="0.3">
      <c r="D91" s="20" t="s">
        <v>665</v>
      </c>
      <c r="E91" s="20" t="s">
        <v>343</v>
      </c>
    </row>
    <row r="92" spans="4:5" x14ac:dyDescent="0.3">
      <c r="D92" s="20" t="s">
        <v>666</v>
      </c>
      <c r="E92" s="20" t="s">
        <v>344</v>
      </c>
    </row>
    <row r="93" spans="4:5" x14ac:dyDescent="0.3">
      <c r="D93" s="20" t="s">
        <v>667</v>
      </c>
      <c r="E93" s="20" t="s">
        <v>345</v>
      </c>
    </row>
    <row r="94" spans="4:5" x14ac:dyDescent="0.3">
      <c r="D94" s="20" t="s">
        <v>668</v>
      </c>
      <c r="E94" s="20" t="s">
        <v>346</v>
      </c>
    </row>
    <row r="95" spans="4:5" x14ac:dyDescent="0.3">
      <c r="D95" s="20" t="s">
        <v>669</v>
      </c>
      <c r="E95" s="20" t="s">
        <v>347</v>
      </c>
    </row>
    <row r="96" spans="4:5" x14ac:dyDescent="0.3">
      <c r="D96" s="20" t="s">
        <v>670</v>
      </c>
      <c r="E96" s="20" t="s">
        <v>348</v>
      </c>
    </row>
    <row r="97" spans="4:5" x14ac:dyDescent="0.3">
      <c r="D97" s="20" t="s">
        <v>671</v>
      </c>
      <c r="E97" s="20" t="s">
        <v>349</v>
      </c>
    </row>
    <row r="98" spans="4:5" x14ac:dyDescent="0.3">
      <c r="D98" s="20" t="s">
        <v>672</v>
      </c>
      <c r="E98" s="20" t="s">
        <v>350</v>
      </c>
    </row>
    <row r="99" spans="4:5" x14ac:dyDescent="0.3">
      <c r="D99" s="20" t="s">
        <v>673</v>
      </c>
      <c r="E99" s="20" t="s">
        <v>351</v>
      </c>
    </row>
    <row r="100" spans="4:5" x14ac:dyDescent="0.3">
      <c r="D100" s="20" t="s">
        <v>674</v>
      </c>
      <c r="E100" s="20" t="s">
        <v>352</v>
      </c>
    </row>
    <row r="101" spans="4:5" x14ac:dyDescent="0.3">
      <c r="D101" s="20" t="s">
        <v>675</v>
      </c>
      <c r="E101" s="20" t="s">
        <v>353</v>
      </c>
    </row>
    <row r="102" spans="4:5" x14ac:dyDescent="0.3">
      <c r="D102" s="20" t="s">
        <v>676</v>
      </c>
      <c r="E102" s="20" t="s">
        <v>354</v>
      </c>
    </row>
    <row r="103" spans="4:5" x14ac:dyDescent="0.3">
      <c r="D103" s="20" t="s">
        <v>677</v>
      </c>
      <c r="E103" s="20" t="s">
        <v>355</v>
      </c>
    </row>
    <row r="104" spans="4:5" x14ac:dyDescent="0.3">
      <c r="D104" s="20" t="s">
        <v>678</v>
      </c>
      <c r="E104" s="20" t="s">
        <v>356</v>
      </c>
    </row>
    <row r="105" spans="4:5" x14ac:dyDescent="0.3">
      <c r="D105" s="20" t="s">
        <v>679</v>
      </c>
      <c r="E105" s="20" t="s">
        <v>357</v>
      </c>
    </row>
    <row r="106" spans="4:5" x14ac:dyDescent="0.3">
      <c r="D106" s="20" t="s">
        <v>680</v>
      </c>
      <c r="E106" s="20" t="s">
        <v>358</v>
      </c>
    </row>
    <row r="107" spans="4:5" x14ac:dyDescent="0.3">
      <c r="D107" s="20" t="s">
        <v>681</v>
      </c>
      <c r="E107" s="20" t="s">
        <v>359</v>
      </c>
    </row>
    <row r="108" spans="4:5" x14ac:dyDescent="0.3">
      <c r="D108" s="20" t="s">
        <v>682</v>
      </c>
      <c r="E108" s="20" t="s">
        <v>360</v>
      </c>
    </row>
    <row r="109" spans="4:5" x14ac:dyDescent="0.3">
      <c r="D109" s="20" t="s">
        <v>683</v>
      </c>
      <c r="E109" s="20" t="s">
        <v>361</v>
      </c>
    </row>
    <row r="110" spans="4:5" x14ac:dyDescent="0.3">
      <c r="D110" s="20" t="s">
        <v>684</v>
      </c>
      <c r="E110" s="20" t="s">
        <v>362</v>
      </c>
    </row>
    <row r="111" spans="4:5" x14ac:dyDescent="0.3">
      <c r="D111" s="20" t="s">
        <v>685</v>
      </c>
      <c r="E111" s="20" t="s">
        <v>363</v>
      </c>
    </row>
    <row r="112" spans="4:5" x14ac:dyDescent="0.3">
      <c r="D112" s="20" t="s">
        <v>686</v>
      </c>
      <c r="E112" s="20" t="s">
        <v>364</v>
      </c>
    </row>
    <row r="113" spans="4:5" x14ac:dyDescent="0.3">
      <c r="D113" s="20" t="s">
        <v>687</v>
      </c>
      <c r="E113" s="20" t="s">
        <v>365</v>
      </c>
    </row>
    <row r="114" spans="4:5" x14ac:dyDescent="0.3">
      <c r="D114" s="20" t="s">
        <v>688</v>
      </c>
      <c r="E114" s="20" t="s">
        <v>366</v>
      </c>
    </row>
    <row r="115" spans="4:5" x14ac:dyDescent="0.3">
      <c r="D115" s="20" t="s">
        <v>689</v>
      </c>
      <c r="E115" s="20" t="s">
        <v>367</v>
      </c>
    </row>
    <row r="116" spans="4:5" x14ac:dyDescent="0.3">
      <c r="D116" s="20" t="s">
        <v>690</v>
      </c>
      <c r="E116" s="20" t="s">
        <v>368</v>
      </c>
    </row>
    <row r="117" spans="4:5" x14ac:dyDescent="0.3">
      <c r="D117" s="20" t="s">
        <v>691</v>
      </c>
      <c r="E117" s="20" t="s">
        <v>369</v>
      </c>
    </row>
    <row r="118" spans="4:5" x14ac:dyDescent="0.3">
      <c r="D118" s="20" t="s">
        <v>692</v>
      </c>
      <c r="E118" s="20" t="s">
        <v>370</v>
      </c>
    </row>
    <row r="119" spans="4:5" x14ac:dyDescent="0.3">
      <c r="D119" s="20" t="s">
        <v>693</v>
      </c>
      <c r="E119" s="20" t="s">
        <v>371</v>
      </c>
    </row>
    <row r="120" spans="4:5" x14ac:dyDescent="0.3">
      <c r="D120" s="20" t="s">
        <v>694</v>
      </c>
      <c r="E120" s="20" t="s">
        <v>372</v>
      </c>
    </row>
    <row r="121" spans="4:5" x14ac:dyDescent="0.3">
      <c r="D121" s="20" t="s">
        <v>695</v>
      </c>
      <c r="E121" s="20" t="s">
        <v>373</v>
      </c>
    </row>
    <row r="122" spans="4:5" x14ac:dyDescent="0.3">
      <c r="D122" s="20" t="s">
        <v>696</v>
      </c>
      <c r="E122" s="20" t="s">
        <v>374</v>
      </c>
    </row>
    <row r="123" spans="4:5" x14ac:dyDescent="0.3">
      <c r="D123" s="20" t="s">
        <v>697</v>
      </c>
      <c r="E123" s="20" t="s">
        <v>375</v>
      </c>
    </row>
    <row r="124" spans="4:5" x14ac:dyDescent="0.3">
      <c r="D124" s="20" t="s">
        <v>698</v>
      </c>
      <c r="E124" s="20" t="s">
        <v>376</v>
      </c>
    </row>
    <row r="125" spans="4:5" x14ac:dyDescent="0.3">
      <c r="D125" s="20" t="s">
        <v>699</v>
      </c>
      <c r="E125" s="20" t="s">
        <v>377</v>
      </c>
    </row>
    <row r="126" spans="4:5" x14ac:dyDescent="0.3">
      <c r="D126" s="20" t="s">
        <v>700</v>
      </c>
      <c r="E126" s="20" t="s">
        <v>378</v>
      </c>
    </row>
    <row r="127" spans="4:5" x14ac:dyDescent="0.3">
      <c r="D127" s="20" t="s">
        <v>701</v>
      </c>
      <c r="E127" s="20" t="s">
        <v>379</v>
      </c>
    </row>
    <row r="128" spans="4:5" x14ac:dyDescent="0.3">
      <c r="D128" s="20" t="s">
        <v>702</v>
      </c>
      <c r="E128" s="20" t="s">
        <v>380</v>
      </c>
    </row>
    <row r="129" spans="4:5" x14ac:dyDescent="0.3">
      <c r="D129" s="20" t="s">
        <v>703</v>
      </c>
      <c r="E129" s="20" t="s">
        <v>381</v>
      </c>
    </row>
    <row r="130" spans="4:5" x14ac:dyDescent="0.3">
      <c r="D130" s="20" t="s">
        <v>704</v>
      </c>
      <c r="E130" s="20" t="s">
        <v>382</v>
      </c>
    </row>
    <row r="131" spans="4:5" x14ac:dyDescent="0.3">
      <c r="D131" s="20" t="s">
        <v>705</v>
      </c>
      <c r="E131" s="20" t="s">
        <v>383</v>
      </c>
    </row>
    <row r="132" spans="4:5" x14ac:dyDescent="0.3">
      <c r="D132" s="20" t="s">
        <v>706</v>
      </c>
      <c r="E132" s="20" t="s">
        <v>384</v>
      </c>
    </row>
    <row r="133" spans="4:5" x14ac:dyDescent="0.3">
      <c r="D133" s="20" t="s">
        <v>707</v>
      </c>
      <c r="E133" s="20" t="s">
        <v>385</v>
      </c>
    </row>
    <row r="134" spans="4:5" x14ac:dyDescent="0.3">
      <c r="D134" s="20" t="s">
        <v>708</v>
      </c>
      <c r="E134" s="20" t="s">
        <v>386</v>
      </c>
    </row>
    <row r="135" spans="4:5" x14ac:dyDescent="0.3">
      <c r="D135" s="20" t="s">
        <v>709</v>
      </c>
      <c r="E135" s="20" t="s">
        <v>387</v>
      </c>
    </row>
    <row r="136" spans="4:5" x14ac:dyDescent="0.3">
      <c r="D136" s="20" t="s">
        <v>710</v>
      </c>
      <c r="E136" s="20" t="s">
        <v>388</v>
      </c>
    </row>
    <row r="137" spans="4:5" x14ac:dyDescent="0.3">
      <c r="D137" s="20" t="s">
        <v>711</v>
      </c>
      <c r="E137" s="20" t="s">
        <v>389</v>
      </c>
    </row>
    <row r="138" spans="4:5" x14ac:dyDescent="0.3">
      <c r="D138" s="20" t="s">
        <v>712</v>
      </c>
      <c r="E138" s="20" t="s">
        <v>390</v>
      </c>
    </row>
    <row r="139" spans="4:5" x14ac:dyDescent="0.3">
      <c r="D139" s="20" t="s">
        <v>713</v>
      </c>
      <c r="E139" s="20" t="s">
        <v>391</v>
      </c>
    </row>
    <row r="140" spans="4:5" x14ac:dyDescent="0.3">
      <c r="D140" s="20" t="s">
        <v>714</v>
      </c>
      <c r="E140" s="20" t="s">
        <v>392</v>
      </c>
    </row>
    <row r="141" spans="4:5" x14ac:dyDescent="0.3">
      <c r="D141" s="20" t="s">
        <v>715</v>
      </c>
      <c r="E141" s="20" t="s">
        <v>393</v>
      </c>
    </row>
    <row r="142" spans="4:5" x14ac:dyDescent="0.3">
      <c r="D142" s="20" t="s">
        <v>716</v>
      </c>
      <c r="E142" s="20" t="s">
        <v>394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7BD937A-5713-4394-8543-A1CA7893D614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172</vt:i4>
      </vt:variant>
    </vt:vector>
  </HeadingPairs>
  <TitlesOfParts>
    <vt:vector size="188" baseType="lpstr">
      <vt:lpstr>BUILDING 1</vt:lpstr>
      <vt:lpstr>BUILDING 2</vt:lpstr>
      <vt:lpstr>BUILDING 3</vt:lpstr>
      <vt:lpstr>BUILDING 4</vt:lpstr>
      <vt:lpstr>BUILDING 5</vt:lpstr>
      <vt:lpstr>BUILDING 6</vt:lpstr>
      <vt:lpstr>BUILDING 7</vt:lpstr>
      <vt:lpstr>BUILDING 8</vt:lpstr>
      <vt:lpstr>MAIL KIKOSK</vt:lpstr>
      <vt:lpstr>POOL HOUSE</vt:lpstr>
      <vt:lpstr>SITE</vt:lpstr>
      <vt:lpstr>Dashboard</vt:lpstr>
      <vt:lpstr>Data for Dashboard</vt:lpstr>
      <vt:lpstr>COST SUMMARY</vt:lpstr>
      <vt:lpstr>HOURLY RATES</vt:lpstr>
      <vt:lpstr>Data for Rough Cost</vt:lpstr>
      <vt:lpstr>Average</vt:lpstr>
      <vt:lpstr>Average1</vt:lpstr>
      <vt:lpstr>Average10</vt:lpstr>
      <vt:lpstr>Average11</vt:lpstr>
      <vt:lpstr>Average12</vt:lpstr>
      <vt:lpstr>Average2</vt:lpstr>
      <vt:lpstr>Average3</vt:lpstr>
      <vt:lpstr>Average4</vt:lpstr>
      <vt:lpstr>Average5</vt:lpstr>
      <vt:lpstr>Average6</vt:lpstr>
      <vt:lpstr>Average7</vt:lpstr>
      <vt:lpstr>Average8</vt:lpstr>
      <vt:lpstr>Average9</vt:lpstr>
      <vt:lpstr>Categories</vt:lpstr>
      <vt:lpstr>Commercial</vt:lpstr>
      <vt:lpstr>Custom</vt:lpstr>
      <vt:lpstr>Custom1</vt:lpstr>
      <vt:lpstr>Custom10</vt:lpstr>
      <vt:lpstr>Custom2</vt:lpstr>
      <vt:lpstr>Custom3</vt:lpstr>
      <vt:lpstr>Custom4</vt:lpstr>
      <vt:lpstr>Custom5</vt:lpstr>
      <vt:lpstr>Custom6</vt:lpstr>
      <vt:lpstr>Custom7</vt:lpstr>
      <vt:lpstr>Custom8</vt:lpstr>
      <vt:lpstr>Custom9</vt:lpstr>
      <vt:lpstr>Default</vt:lpstr>
      <vt:lpstr>Default1</vt:lpstr>
      <vt:lpstr>Default10</vt:lpstr>
      <vt:lpstr>Default100</vt:lpstr>
      <vt:lpstr>Default101</vt:lpstr>
      <vt:lpstr>Default11</vt:lpstr>
      <vt:lpstr>Default12</vt:lpstr>
      <vt:lpstr>Default13</vt:lpstr>
      <vt:lpstr>Default14</vt:lpstr>
      <vt:lpstr>Default15</vt:lpstr>
      <vt:lpstr>Default16</vt:lpstr>
      <vt:lpstr>Default17</vt:lpstr>
      <vt:lpstr>Default18</vt:lpstr>
      <vt:lpstr>Default19</vt:lpstr>
      <vt:lpstr>Default2</vt:lpstr>
      <vt:lpstr>Default20</vt:lpstr>
      <vt:lpstr>Default21</vt:lpstr>
      <vt:lpstr>Default22</vt:lpstr>
      <vt:lpstr>Default23</vt:lpstr>
      <vt:lpstr>Default24</vt:lpstr>
      <vt:lpstr>Default25</vt:lpstr>
      <vt:lpstr>Default26</vt:lpstr>
      <vt:lpstr>Default27</vt:lpstr>
      <vt:lpstr>Default28</vt:lpstr>
      <vt:lpstr>Default29</vt:lpstr>
      <vt:lpstr>Default3</vt:lpstr>
      <vt:lpstr>Default30</vt:lpstr>
      <vt:lpstr>Default31</vt:lpstr>
      <vt:lpstr>Default32</vt:lpstr>
      <vt:lpstr>Default33</vt:lpstr>
      <vt:lpstr>Default34</vt:lpstr>
      <vt:lpstr>Default35</vt:lpstr>
      <vt:lpstr>Default36</vt:lpstr>
      <vt:lpstr>Default37</vt:lpstr>
      <vt:lpstr>Default38</vt:lpstr>
      <vt:lpstr>Default39</vt:lpstr>
      <vt:lpstr>Default4</vt:lpstr>
      <vt:lpstr>Default40</vt:lpstr>
      <vt:lpstr>Default41</vt:lpstr>
      <vt:lpstr>Default42</vt:lpstr>
      <vt:lpstr>Default43</vt:lpstr>
      <vt:lpstr>Default44</vt:lpstr>
      <vt:lpstr>Default45</vt:lpstr>
      <vt:lpstr>Default46</vt:lpstr>
      <vt:lpstr>Default47</vt:lpstr>
      <vt:lpstr>Default48</vt:lpstr>
      <vt:lpstr>Default49</vt:lpstr>
      <vt:lpstr>Default5</vt:lpstr>
      <vt:lpstr>Default50</vt:lpstr>
      <vt:lpstr>Default51</vt:lpstr>
      <vt:lpstr>Default52</vt:lpstr>
      <vt:lpstr>Default53</vt:lpstr>
      <vt:lpstr>Default54</vt:lpstr>
      <vt:lpstr>Default55</vt:lpstr>
      <vt:lpstr>Default56</vt:lpstr>
      <vt:lpstr>Default57</vt:lpstr>
      <vt:lpstr>Default58</vt:lpstr>
      <vt:lpstr>Default59</vt:lpstr>
      <vt:lpstr>Default6</vt:lpstr>
      <vt:lpstr>Default60</vt:lpstr>
      <vt:lpstr>Default61</vt:lpstr>
      <vt:lpstr>Default62</vt:lpstr>
      <vt:lpstr>Default63</vt:lpstr>
      <vt:lpstr>Default64</vt:lpstr>
      <vt:lpstr>Default65</vt:lpstr>
      <vt:lpstr>Default66</vt:lpstr>
      <vt:lpstr>Default67</vt:lpstr>
      <vt:lpstr>Default68</vt:lpstr>
      <vt:lpstr>Default69</vt:lpstr>
      <vt:lpstr>Default7</vt:lpstr>
      <vt:lpstr>Default70</vt:lpstr>
      <vt:lpstr>Default71</vt:lpstr>
      <vt:lpstr>Default72</vt:lpstr>
      <vt:lpstr>Default73</vt:lpstr>
      <vt:lpstr>Default74</vt:lpstr>
      <vt:lpstr>Default75</vt:lpstr>
      <vt:lpstr>Default76</vt:lpstr>
      <vt:lpstr>Default77</vt:lpstr>
      <vt:lpstr>Default78</vt:lpstr>
      <vt:lpstr>Default79</vt:lpstr>
      <vt:lpstr>Default8</vt:lpstr>
      <vt:lpstr>Default80</vt:lpstr>
      <vt:lpstr>Default81</vt:lpstr>
      <vt:lpstr>Default82</vt:lpstr>
      <vt:lpstr>Default83</vt:lpstr>
      <vt:lpstr>Default84</vt:lpstr>
      <vt:lpstr>Default85</vt:lpstr>
      <vt:lpstr>Default86</vt:lpstr>
      <vt:lpstr>Default87</vt:lpstr>
      <vt:lpstr>Default88</vt:lpstr>
      <vt:lpstr>Default89</vt:lpstr>
      <vt:lpstr>Default9</vt:lpstr>
      <vt:lpstr>Default90</vt:lpstr>
      <vt:lpstr>Default91</vt:lpstr>
      <vt:lpstr>Default92</vt:lpstr>
      <vt:lpstr>Default93</vt:lpstr>
      <vt:lpstr>Default94</vt:lpstr>
      <vt:lpstr>Default95</vt:lpstr>
      <vt:lpstr>Default96</vt:lpstr>
      <vt:lpstr>Default97</vt:lpstr>
      <vt:lpstr>Default98</vt:lpstr>
      <vt:lpstr>Default99</vt:lpstr>
      <vt:lpstr>Economy</vt:lpstr>
      <vt:lpstr>Economy1</vt:lpstr>
      <vt:lpstr>Economy2</vt:lpstr>
      <vt:lpstr>Economy3</vt:lpstr>
      <vt:lpstr>Economy4</vt:lpstr>
      <vt:lpstr>Economy5</vt:lpstr>
      <vt:lpstr>Economy6</vt:lpstr>
      <vt:lpstr>Economy7</vt:lpstr>
      <vt:lpstr>Economy8</vt:lpstr>
      <vt:lpstr>Luxury</vt:lpstr>
      <vt:lpstr>Luxury1</vt:lpstr>
      <vt:lpstr>Luxury10</vt:lpstr>
      <vt:lpstr>Luxury2</vt:lpstr>
      <vt:lpstr>Luxury3</vt:lpstr>
      <vt:lpstr>Luxury4</vt:lpstr>
      <vt:lpstr>Luxury5</vt:lpstr>
      <vt:lpstr>Luxury6</vt:lpstr>
      <vt:lpstr>Luxury7</vt:lpstr>
      <vt:lpstr>Luxury8</vt:lpstr>
      <vt:lpstr>Luxury9</vt:lpstr>
      <vt:lpstr>'BUILDING 1'!Print_Area</vt:lpstr>
      <vt:lpstr>'BUILDING 2'!Print_Area</vt:lpstr>
      <vt:lpstr>'BUILDING 3'!Print_Area</vt:lpstr>
      <vt:lpstr>'BUILDING 4'!Print_Area</vt:lpstr>
      <vt:lpstr>'BUILDING 5'!Print_Area</vt:lpstr>
      <vt:lpstr>'BUILDING 6'!Print_Area</vt:lpstr>
      <vt:lpstr>'BUILDING 7'!Print_Area</vt:lpstr>
      <vt:lpstr>'BUILDING 8'!Print_Area</vt:lpstr>
      <vt:lpstr>'COST SUMMARY'!Print_Area</vt:lpstr>
      <vt:lpstr>'MAIL KIKOSK'!Print_Area</vt:lpstr>
      <vt:lpstr>'POOL HOUSE'!Print_Area</vt:lpstr>
      <vt:lpstr>SITE!Print_Area</vt:lpstr>
      <vt:lpstr>'BUILDING 1'!Print_Titles</vt:lpstr>
      <vt:lpstr>'BUILDING 2'!Print_Titles</vt:lpstr>
      <vt:lpstr>'BUILDING 3'!Print_Titles</vt:lpstr>
      <vt:lpstr>'BUILDING 4'!Print_Titles</vt:lpstr>
      <vt:lpstr>'BUILDING 5'!Print_Titles</vt:lpstr>
      <vt:lpstr>'BUILDING 6'!Print_Titles</vt:lpstr>
      <vt:lpstr>'BUILDING 7'!Print_Titles</vt:lpstr>
      <vt:lpstr>'BUILDING 8'!Print_Titles</vt:lpstr>
      <vt:lpstr>'MAIL KIKOSK'!Print_Titles</vt:lpstr>
      <vt:lpstr>'POOL HOUSE'!Print_Titles</vt:lpstr>
      <vt:lpstr>SITE!Print_Titles</vt:lpstr>
      <vt:lpstr>Residential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2013-07-08T09:36:48Z</dcterms:created>
  <dcterms:modified xsi:type="dcterms:W3CDTF">2026-03-26T16:59:31Z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{27BD937A-5713-4394-8543-A1CA7893D614}</vt:lpwstr>
  </property>
</Properties>
</file>