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hidePivotFieldList="1"/>
  <xr:revisionPtr revIDLastSave="0" documentId="13_ncr:1_{221C1E4F-2193-4ABE-B60D-717E16C6B02C}" xr6:coauthVersionLast="47" xr6:coauthVersionMax="47" xr10:uidLastSave="{00000000-0000-0000-0000-000000000000}"/>
  <bookViews>
    <workbookView xWindow="-108" yWindow="-108" windowWidth="23256" windowHeight="12456" tabRatio="873" xr2:uid="{00000000-000D-0000-FFFF-FFFF00000000}"/>
  </bookViews>
  <sheets>
    <sheet name="BASE BID" sheetId="26" r:id="rId1"/>
    <sheet name="Dashboard" sheetId="30" r:id="rId2"/>
    <sheet name="Data for Dashboard" sheetId="31" state="hidden" r:id="rId3"/>
    <sheet name="COST SUMMARY" sheetId="12" r:id="rId4"/>
    <sheet name="HOURLY RATES" sheetId="22" r:id="rId5"/>
    <sheet name="Data for Rough Cost" sheetId="32" state="hidden" r:id="rId6"/>
  </sheets>
  <definedNames>
    <definedName name="_xlnm._FilterDatabase" localSheetId="0" hidden="1">'BASE BID'!$S$1:$S$343</definedName>
    <definedName name="_xlnm._FilterDatabase" localSheetId="3" hidden="1">'COST SUMMARY'!$F$1:$F$101</definedName>
    <definedName name="_xlnm._FilterDatabase" localSheetId="4" hidden="1">'HOURLY RATES'!$B$8:$D$104</definedName>
    <definedName name="Average">'Data for Rough Cost'!$D$111:$D$122</definedName>
    <definedName name="Average1">'Data for Rough Cost'!$DK$2:$DK$5</definedName>
    <definedName name="Average10">'Data for Rough Cost'!$DT$2:$DT$5</definedName>
    <definedName name="Average11">'Data for Rough Cost'!$DU$2:$DU$3</definedName>
    <definedName name="Average12">'Data for Rough Cost'!$DV$2:$DV$3</definedName>
    <definedName name="Average2">'Data for Rough Cost'!$DL$2:$DL$5</definedName>
    <definedName name="Average3">'Data for Rough Cost'!$DM$2:$DM$5</definedName>
    <definedName name="Average4">'Data for Rough Cost'!$DN$2:$DN$5</definedName>
    <definedName name="Average5">'Data for Rough Cost'!$DO$2:$DO$5</definedName>
    <definedName name="Average6">'Data for Rough Cost'!$DP$2:$DP$5</definedName>
    <definedName name="Average7">'Data for Rough Cost'!$DQ$2:$DQ$5</definedName>
    <definedName name="Average8">'Data for Rough Cost'!$DR$2:$DR$5</definedName>
    <definedName name="Average9">'Data for Rough Cost'!$DS$2:$DS$5</definedName>
    <definedName name="Categories">'Data for Rough Cost'!$A$2:$A$3</definedName>
    <definedName name="Commercial">'Data for Rough Cost'!$B$2</definedName>
    <definedName name="Custom">'Data for Rough Cost'!$D$123:$D$132</definedName>
    <definedName name="Custom1">'Data for Rough Cost'!$DW$2:$DW$5</definedName>
    <definedName name="Custom10">'Data for Rough Cost'!$EF$2:$EF$5</definedName>
    <definedName name="Custom2">'Data for Rough Cost'!$DX$2:$DX$5</definedName>
    <definedName name="Custom3">'Data for Rough Cost'!$DY$2:$DY$5</definedName>
    <definedName name="Custom4">'Data for Rough Cost'!$DZ$2:$DZ$5</definedName>
    <definedName name="Custom5">'Data for Rough Cost'!$EA$2:$EA$5</definedName>
    <definedName name="Custom6">'Data for Rough Cost'!$EB$2:$EB$5</definedName>
    <definedName name="Custom7">'Data for Rough Cost'!$EC$2:$EC$5</definedName>
    <definedName name="Custom8">'Data for Rough Cost'!$ED$2:$ED$5</definedName>
    <definedName name="Custom9">'Data for Rough Cost'!$EE$2:$EE$5</definedName>
    <definedName name="Default">'Data for Rough Cost'!$D$2:$D$102</definedName>
    <definedName name="Default1">'Data for Rough Cost'!$F$2:$F$7</definedName>
    <definedName name="Default10">'Data for Rough Cost'!$O$2:$O$7</definedName>
    <definedName name="Default100">'Data for Rough Cost'!$DA$2:$DA$7</definedName>
    <definedName name="Default101">'Data for Rough Cost'!$DB$2:$DB$7</definedName>
    <definedName name="Default11">'Data for Rough Cost'!$P$2:$P$7</definedName>
    <definedName name="Default12">'Data for Rough Cost'!$Q$2:$Q$7</definedName>
    <definedName name="Default13">'Data for Rough Cost'!$R$2:$R$7</definedName>
    <definedName name="Default14">'Data for Rough Cost'!$S$2:$S$7</definedName>
    <definedName name="Default15">'Data for Rough Cost'!$T$2:$T$7</definedName>
    <definedName name="Default16">'Data for Rough Cost'!$U$2:$U$7</definedName>
    <definedName name="Default17">'Data for Rough Cost'!$V$2:$V$7</definedName>
    <definedName name="Default18">'Data for Rough Cost'!$W$2:$W$7</definedName>
    <definedName name="Default19">'Data for Rough Cost'!$X$2:$X$7</definedName>
    <definedName name="Default2">'Data for Rough Cost'!$G$2:$G$7</definedName>
    <definedName name="Default20">'Data for Rough Cost'!$Y$2:$Y$7</definedName>
    <definedName name="Default21">'Data for Rough Cost'!$Z$2:$Z$7</definedName>
    <definedName name="Default22">'Data for Rough Cost'!$AA$2:$AA$7</definedName>
    <definedName name="Default23">'Data for Rough Cost'!$AB$2:$AB$7</definedName>
    <definedName name="Default24">'Data for Rough Cost'!$AC$2:$AC$7</definedName>
    <definedName name="Default25">'Data for Rough Cost'!$AD$2:$AD$7</definedName>
    <definedName name="Default26">'Data for Rough Cost'!$AE$2:$AE$7</definedName>
    <definedName name="Default27">'Data for Rough Cost'!$AF$2:$AF$7</definedName>
    <definedName name="Default28">'Data for Rough Cost'!$AG$2:$AG$7</definedName>
    <definedName name="Default29">'Data for Rough Cost'!$AH$2:$AH$7</definedName>
    <definedName name="Default3">'Data for Rough Cost'!$H$2:$H$7</definedName>
    <definedName name="Default30">'Data for Rough Cost'!$AI$2:$AI$7</definedName>
    <definedName name="Default31">'Data for Rough Cost'!$AJ$2:$AJ$7</definedName>
    <definedName name="Default32">'Data for Rough Cost'!$AK$2:$AK$7</definedName>
    <definedName name="Default33">'Data for Rough Cost'!$AL$2:$AL$7</definedName>
    <definedName name="Default34">'Data for Rough Cost'!$AM$2:$AM$7</definedName>
    <definedName name="Default35">'Data for Rough Cost'!$AN$2:$AN$7</definedName>
    <definedName name="Default36">'Data for Rough Cost'!$AO$2:$AO$7</definedName>
    <definedName name="Default37">'Data for Rough Cost'!$AP$2:$AP$7</definedName>
    <definedName name="Default38">'Data for Rough Cost'!$AQ$2:$AQ$7</definedName>
    <definedName name="Default39">'Data for Rough Cost'!$AR$2:$AR$7</definedName>
    <definedName name="Default4">'Data for Rough Cost'!$I$2:$I$7</definedName>
    <definedName name="Default40">'Data for Rough Cost'!$AS$2:$AS$7</definedName>
    <definedName name="Default41">'Data for Rough Cost'!$AT$2:$AT$7</definedName>
    <definedName name="Default42">'Data for Rough Cost'!$AU$2:$AU$7</definedName>
    <definedName name="Default43">'Data for Rough Cost'!$AV$2:$AV$7</definedName>
    <definedName name="Default44">'Data for Rough Cost'!$AW$2:$AW$7</definedName>
    <definedName name="Default45">'Data for Rough Cost'!$AX$2:$AX$7</definedName>
    <definedName name="Default46">'Data for Rough Cost'!$AY$2:$AY$7</definedName>
    <definedName name="Default47">'Data for Rough Cost'!$AZ$2:$AZ$7</definedName>
    <definedName name="Default48">'Data for Rough Cost'!$BA$2:$BA$7</definedName>
    <definedName name="Default49">'Data for Rough Cost'!$BB$2:$BB$7</definedName>
    <definedName name="Default5">'Data for Rough Cost'!$J$2:$J$7</definedName>
    <definedName name="Default50">'Data for Rough Cost'!$BC$2:$BC$7</definedName>
    <definedName name="Default51">'Data for Rough Cost'!$BD$2:$BD$7</definedName>
    <definedName name="Default52">'Data for Rough Cost'!$BE$2:$BE$7</definedName>
    <definedName name="Default53">'Data for Rough Cost'!$BF$2:$BF$7</definedName>
    <definedName name="Default54">'Data for Rough Cost'!$BG$2:$BG$7</definedName>
    <definedName name="Default55">'Data for Rough Cost'!$BH$2:$BH$7</definedName>
    <definedName name="Default56">'Data for Rough Cost'!$BI$2:$BI$7</definedName>
    <definedName name="Default57">'Data for Rough Cost'!$BJ$2:$BJ$7</definedName>
    <definedName name="Default58">'Data for Rough Cost'!$BK$2:$BK$7</definedName>
    <definedName name="Default59">'Data for Rough Cost'!$BL$2:$BL$7</definedName>
    <definedName name="Default6">'Data for Rough Cost'!$K$2:$K$7</definedName>
    <definedName name="Default60">'Data for Rough Cost'!$BM$2:$BM$7</definedName>
    <definedName name="Default61">'Data for Rough Cost'!$BN$2:$BN$7</definedName>
    <definedName name="Default62">'Data for Rough Cost'!$BO$2:$BO$7</definedName>
    <definedName name="Default63">'Data for Rough Cost'!$BP$2:$BP$7</definedName>
    <definedName name="Default64">'Data for Rough Cost'!$BQ$2:$BQ$7</definedName>
    <definedName name="Default65">'Data for Rough Cost'!$BR$2:$BR$7</definedName>
    <definedName name="Default66">'Data for Rough Cost'!$BS$2:$BS$7</definedName>
    <definedName name="Default67">'Data for Rough Cost'!$BT$2:$BT$7</definedName>
    <definedName name="Default68">'Data for Rough Cost'!$BU$2:$BU$7</definedName>
    <definedName name="Default69">'Data for Rough Cost'!$BV$2:$BV$7</definedName>
    <definedName name="Default7">'Data for Rough Cost'!$L$2:$L$7</definedName>
    <definedName name="Default70">'Data for Rough Cost'!$BW$2:$BW$7</definedName>
    <definedName name="Default71">'Data for Rough Cost'!$BX$2:$BX$7</definedName>
    <definedName name="Default72">'Data for Rough Cost'!$BY$2:$BY$7</definedName>
    <definedName name="Default73">'Data for Rough Cost'!$BZ$2:$BZ$5</definedName>
    <definedName name="Default74">'Data for Rough Cost'!$CA$2:$CA$7</definedName>
    <definedName name="Default75">'Data for Rough Cost'!$CB$2:$CB$7</definedName>
    <definedName name="Default76">'Data for Rough Cost'!$CC$2:$CC$7</definedName>
    <definedName name="Default77">'Data for Rough Cost'!$CD$2</definedName>
    <definedName name="Default78">'Data for Rough Cost'!$CE$2</definedName>
    <definedName name="Default79">'Data for Rough Cost'!$CF$2:$CF$5</definedName>
    <definedName name="Default8">'Data for Rough Cost'!$M$2:$M$7</definedName>
    <definedName name="Default80">'Data for Rough Cost'!$CG$2:$CG$7</definedName>
    <definedName name="Default81">'Data for Rough Cost'!$CH$2:$CH$7</definedName>
    <definedName name="Default82">'Data for Rough Cost'!$CI$2:$CI$7</definedName>
    <definedName name="Default83">'Data for Rough Cost'!$CJ$2:$CJ$7</definedName>
    <definedName name="Default84">'Data for Rough Cost'!$CK$2:$CK$7</definedName>
    <definedName name="Default85">'Data for Rough Cost'!$CL$2:$CL$7</definedName>
    <definedName name="Default86">'Data for Rough Cost'!$CM$2:$CM$7</definedName>
    <definedName name="Default87">'Data for Rough Cost'!$CN$2:$CN$7</definedName>
    <definedName name="Default88">'Data for Rough Cost'!$CO$2:$CO$7</definedName>
    <definedName name="Default89">'Data for Rough Cost'!$CP$2:$CP$7</definedName>
    <definedName name="Default9">'Data for Rough Cost'!$N$2:$N$7</definedName>
    <definedName name="Default90">'Data for Rough Cost'!$CQ$2:$CQ$7</definedName>
    <definedName name="Default91">'Data for Rough Cost'!$CR$2:$CR$7</definedName>
    <definedName name="Default92">'Data for Rough Cost'!$CS$2:$CS$7</definedName>
    <definedName name="Default93">'Data for Rough Cost'!$CT$2:$CT$7</definedName>
    <definedName name="Default94">'Data for Rough Cost'!$CU$2:$CU$7</definedName>
    <definedName name="Default95">'Data for Rough Cost'!$CV$2:$CV$7</definedName>
    <definedName name="Default96">'Data for Rough Cost'!$CW$2:$CW$7</definedName>
    <definedName name="Default97">'Data for Rough Cost'!$CX$2:$CX$7</definedName>
    <definedName name="Default98">'Data for Rough Cost'!$CY$2:$CY$7</definedName>
    <definedName name="Default99">'Data for Rough Cost'!$CZ$2:$CZ$7</definedName>
    <definedName name="Economy">'Data for Rough Cost'!$D$103:$D$110</definedName>
    <definedName name="Economy1">'Data for Rough Cost'!$DC$2:$DC$5</definedName>
    <definedName name="Economy2">'Data for Rough Cost'!$DD$2:$DD$5</definedName>
    <definedName name="Economy3">'Data for Rough Cost'!$DE$2:$DE$5</definedName>
    <definedName name="Economy4">'Data for Rough Cost'!$DF$2:$DF$5</definedName>
    <definedName name="Economy5">'Data for Rough Cost'!$DG$2:$DG$5</definedName>
    <definedName name="Economy6">'Data for Rough Cost'!$DH$2:$DH$5</definedName>
    <definedName name="Economy7">'Data for Rough Cost'!$DI$2:$DI$5</definedName>
    <definedName name="Economy8">'Data for Rough Cost'!$DJ$2:$DJ$5</definedName>
    <definedName name="Luxury">'Data for Rough Cost'!$D$133:$D$142</definedName>
    <definedName name="Luxury1">'Data for Rough Cost'!$EG$2:$EG$5</definedName>
    <definedName name="Luxury10">'Data for Rough Cost'!$EP$2:$EP$5</definedName>
    <definedName name="Luxury2">'Data for Rough Cost'!$EH$2:$EH$5</definedName>
    <definedName name="Luxury3">'Data for Rough Cost'!$EI$2:$EI$5</definedName>
    <definedName name="Luxury4">'Data for Rough Cost'!$EJ$2:$EJ$5</definedName>
    <definedName name="Luxury5">'Data for Rough Cost'!$EK$2:$EK$5</definedName>
    <definedName name="Luxury6">'Data for Rough Cost'!$EL$2:$EL$5</definedName>
    <definedName name="Luxury7">'Data for Rough Cost'!$EM$2:$EM$5</definedName>
    <definedName name="Luxury8">'Data for Rough Cost'!$EN$2:$EN$5</definedName>
    <definedName name="Luxury9">'Data for Rough Cost'!$EO$2:$EO$5</definedName>
    <definedName name="_xlnm.Print_Area" localSheetId="0">'BASE BID'!$A$1:$R$242</definedName>
    <definedName name="_xlnm.Print_Area" localSheetId="3">'COST SUMMARY'!$A$1:$R$92</definedName>
    <definedName name="_xlnm.Print_Titles" localSheetId="0">'BASE BID'!$17:$17</definedName>
    <definedName name="Residential">'Data for Rough Cost'!$C$2:$C$5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7" i="26" l="1"/>
  <c r="A68" i="26"/>
  <c r="A69" i="26"/>
  <c r="A141" i="26"/>
  <c r="A142" i="26"/>
  <c r="A147" i="26"/>
  <c r="A148" i="26"/>
  <c r="A197" i="26"/>
  <c r="A198" i="26"/>
  <c r="A201" i="26"/>
  <c r="A202" i="26"/>
  <c r="A217" i="26"/>
  <c r="A218" i="26"/>
  <c r="A223" i="26"/>
  <c r="A224" i="26"/>
  <c r="A226" i="26"/>
  <c r="A227" i="26"/>
  <c r="A232" i="26"/>
  <c r="A233" i="26"/>
  <c r="A235" i="26"/>
  <c r="A45" i="26"/>
  <c r="A46" i="26"/>
  <c r="A52" i="26"/>
  <c r="A53" i="26"/>
  <c r="A58" i="26"/>
  <c r="A59" i="26"/>
  <c r="A63" i="26"/>
  <c r="A64" i="26"/>
  <c r="A66" i="26"/>
  <c r="M234" i="26" l="1"/>
  <c r="M225" i="26"/>
  <c r="M222" i="26"/>
  <c r="M221" i="26"/>
  <c r="M220" i="26"/>
  <c r="M219" i="26"/>
  <c r="M216" i="26"/>
  <c r="M215" i="26"/>
  <c r="M214" i="26"/>
  <c r="M213" i="26"/>
  <c r="M212" i="26"/>
  <c r="M211" i="26"/>
  <c r="M210" i="26"/>
  <c r="M209" i="26"/>
  <c r="M208" i="26"/>
  <c r="M207" i="26"/>
  <c r="M206" i="26"/>
  <c r="M205" i="26"/>
  <c r="M204" i="26"/>
  <c r="M203" i="26"/>
  <c r="M200" i="26"/>
  <c r="M199" i="26"/>
  <c r="M196" i="26"/>
  <c r="M195" i="26"/>
  <c r="M194" i="26"/>
  <c r="M193" i="26"/>
  <c r="M192" i="26"/>
  <c r="M191" i="26"/>
  <c r="M190" i="26"/>
  <c r="M189" i="26"/>
  <c r="M188" i="26"/>
  <c r="M187" i="26"/>
  <c r="M186" i="26"/>
  <c r="M185" i="26"/>
  <c r="M184" i="26"/>
  <c r="M183" i="26"/>
  <c r="M182" i="26"/>
  <c r="M181" i="26"/>
  <c r="M180" i="26"/>
  <c r="M179" i="26"/>
  <c r="M178" i="26"/>
  <c r="M177" i="26"/>
  <c r="M176" i="26"/>
  <c r="M175" i="26"/>
  <c r="M174" i="26"/>
  <c r="M173" i="26"/>
  <c r="M172" i="26"/>
  <c r="M171" i="26"/>
  <c r="M170" i="26"/>
  <c r="M169" i="26"/>
  <c r="M168" i="26"/>
  <c r="M167" i="26"/>
  <c r="M166" i="26"/>
  <c r="M165" i="26"/>
  <c r="M164" i="26"/>
  <c r="M163" i="26"/>
  <c r="M162" i="26"/>
  <c r="M161" i="26"/>
  <c r="M160" i="26"/>
  <c r="M159" i="26"/>
  <c r="M158" i="26"/>
  <c r="M157" i="26"/>
  <c r="M156" i="26"/>
  <c r="M155" i="26"/>
  <c r="M154" i="26"/>
  <c r="M153" i="26"/>
  <c r="M152" i="26"/>
  <c r="M151" i="26"/>
  <c r="M150" i="26"/>
  <c r="M149" i="26"/>
  <c r="M130" i="26"/>
  <c r="M131" i="26"/>
  <c r="M132" i="26"/>
  <c r="M133" i="26"/>
  <c r="M134" i="26"/>
  <c r="M135" i="26"/>
  <c r="M136" i="26"/>
  <c r="M137" i="26"/>
  <c r="M138" i="26"/>
  <c r="M139" i="26"/>
  <c r="M140" i="26"/>
  <c r="M71" i="26"/>
  <c r="M72" i="26"/>
  <c r="M73" i="26"/>
  <c r="M74" i="26"/>
  <c r="M75" i="26"/>
  <c r="M76" i="26"/>
  <c r="M77" i="26"/>
  <c r="M78" i="26"/>
  <c r="M79" i="26"/>
  <c r="M80" i="26"/>
  <c r="M81" i="26"/>
  <c r="M82" i="26"/>
  <c r="M83" i="26"/>
  <c r="M84" i="26"/>
  <c r="M85" i="26"/>
  <c r="M86" i="26"/>
  <c r="M87" i="26"/>
  <c r="M88" i="26"/>
  <c r="M89" i="26"/>
  <c r="M90" i="26"/>
  <c r="M91" i="26"/>
  <c r="M92" i="26"/>
  <c r="M93" i="26"/>
  <c r="M94" i="26"/>
  <c r="M95" i="26"/>
  <c r="M96" i="26"/>
  <c r="M97" i="26"/>
  <c r="M98" i="26"/>
  <c r="M99" i="26"/>
  <c r="M100" i="26"/>
  <c r="M101" i="26"/>
  <c r="M102" i="26"/>
  <c r="M103" i="26"/>
  <c r="M104" i="26"/>
  <c r="M105" i="26"/>
  <c r="M106" i="26"/>
  <c r="M107" i="26"/>
  <c r="M108" i="26"/>
  <c r="M109" i="26"/>
  <c r="M110" i="26"/>
  <c r="M111" i="26"/>
  <c r="M112" i="26"/>
  <c r="M113" i="26"/>
  <c r="M114" i="26"/>
  <c r="M115" i="26"/>
  <c r="M116" i="26"/>
  <c r="M117" i="26"/>
  <c r="M118" i="26"/>
  <c r="M119" i="26"/>
  <c r="M120" i="26"/>
  <c r="M121" i="26"/>
  <c r="M122" i="26"/>
  <c r="M123" i="26"/>
  <c r="M124" i="26"/>
  <c r="M125" i="26"/>
  <c r="M126" i="26"/>
  <c r="M127" i="26"/>
  <c r="M128" i="26"/>
  <c r="M231" i="26" l="1"/>
  <c r="M230" i="26"/>
  <c r="M229" i="26"/>
  <c r="M228" i="26"/>
  <c r="M146" i="26"/>
  <c r="M145" i="26"/>
  <c r="M144" i="26"/>
  <c r="M143" i="26"/>
  <c r="M129" i="26"/>
  <c r="M70" i="26"/>
  <c r="M65" i="26"/>
  <c r="M62" i="26"/>
  <c r="M61" i="26"/>
  <c r="M60" i="26"/>
  <c r="M57" i="26"/>
  <c r="M56" i="26"/>
  <c r="A32" i="26"/>
  <c r="A33" i="26"/>
  <c r="A37" i="26"/>
  <c r="A38" i="26"/>
  <c r="A21" i="26" l="1"/>
  <c r="A22" i="26" l="1"/>
  <c r="A23" i="26" s="1"/>
  <c r="A24" i="26" l="1"/>
  <c r="A25" i="26" l="1"/>
  <c r="G234" i="26"/>
  <c r="G225" i="26"/>
  <c r="G213" i="26"/>
  <c r="G212" i="26"/>
  <c r="G211" i="26"/>
  <c r="G210" i="26"/>
  <c r="G209" i="26"/>
  <c r="G208" i="26"/>
  <c r="G207" i="26"/>
  <c r="G206" i="26"/>
  <c r="G205" i="26"/>
  <c r="G204" i="26"/>
  <c r="G203" i="26"/>
  <c r="G200" i="26"/>
  <c r="G199" i="26"/>
  <c r="G196" i="26"/>
  <c r="G195" i="26"/>
  <c r="G194" i="26"/>
  <c r="G193" i="26"/>
  <c r="G192" i="26"/>
  <c r="G191" i="26"/>
  <c r="G190" i="26"/>
  <c r="G189" i="26"/>
  <c r="G188" i="26"/>
  <c r="G187" i="26"/>
  <c r="G186" i="26"/>
  <c r="G185" i="26"/>
  <c r="G184" i="26"/>
  <c r="G183" i="26"/>
  <c r="G182" i="26"/>
  <c r="G181" i="26"/>
  <c r="G180" i="26"/>
  <c r="G179" i="26"/>
  <c r="G178" i="26"/>
  <c r="G177" i="26"/>
  <c r="G176" i="26"/>
  <c r="G175" i="26"/>
  <c r="G174" i="26"/>
  <c r="G173" i="26"/>
  <c r="G172" i="26"/>
  <c r="G171" i="26"/>
  <c r="G170" i="26"/>
  <c r="G169" i="26"/>
  <c r="G168" i="26"/>
  <c r="G167" i="26"/>
  <c r="G166" i="26"/>
  <c r="G165" i="26"/>
  <c r="G164" i="26"/>
  <c r="G163" i="26"/>
  <c r="G162" i="26"/>
  <c r="G161" i="26"/>
  <c r="G160" i="26"/>
  <c r="G159" i="26"/>
  <c r="G158" i="26"/>
  <c r="G157" i="26"/>
  <c r="G156" i="26"/>
  <c r="G155" i="26"/>
  <c r="G154" i="26"/>
  <c r="G153" i="26"/>
  <c r="G152" i="26"/>
  <c r="G151" i="26"/>
  <c r="G150" i="26"/>
  <c r="G149" i="26"/>
  <c r="G146" i="26"/>
  <c r="G145" i="26"/>
  <c r="G144" i="26"/>
  <c r="G143" i="26"/>
  <c r="G140" i="26"/>
  <c r="G139" i="26"/>
  <c r="G138" i="26"/>
  <c r="G137" i="26"/>
  <c r="G136" i="26"/>
  <c r="G135" i="26"/>
  <c r="G134" i="26"/>
  <c r="G133" i="26"/>
  <c r="G132" i="26"/>
  <c r="G131" i="26"/>
  <c r="G130" i="26"/>
  <c r="G129" i="26"/>
  <c r="G128" i="26"/>
  <c r="G127" i="26"/>
  <c r="G126" i="26"/>
  <c r="G125" i="26"/>
  <c r="G124" i="26"/>
  <c r="G123" i="26"/>
  <c r="G122" i="26"/>
  <c r="G121" i="26"/>
  <c r="G120" i="26"/>
  <c r="G119" i="26"/>
  <c r="G118" i="26"/>
  <c r="G117" i="26"/>
  <c r="G116" i="26"/>
  <c r="G115" i="26"/>
  <c r="G114" i="26"/>
  <c r="G113" i="26"/>
  <c r="G112" i="26"/>
  <c r="G111" i="26"/>
  <c r="G110" i="26"/>
  <c r="G109" i="26"/>
  <c r="G108" i="26"/>
  <c r="G107" i="26"/>
  <c r="G106" i="26"/>
  <c r="G105" i="26"/>
  <c r="G104" i="26"/>
  <c r="G103" i="26"/>
  <c r="G102" i="26"/>
  <c r="G101" i="26"/>
  <c r="G100" i="26"/>
  <c r="G99" i="26"/>
  <c r="G98" i="26"/>
  <c r="G97" i="26"/>
  <c r="G96" i="26"/>
  <c r="G95" i="26"/>
  <c r="G94" i="26"/>
  <c r="G93" i="26"/>
  <c r="G92" i="26"/>
  <c r="G91" i="26"/>
  <c r="G90" i="26"/>
  <c r="G89" i="26"/>
  <c r="G88" i="26"/>
  <c r="G87" i="26"/>
  <c r="G86" i="26"/>
  <c r="G85" i="26"/>
  <c r="G84" i="26"/>
  <c r="G83" i="26"/>
  <c r="G82" i="26"/>
  <c r="G81" i="26"/>
  <c r="G80" i="26"/>
  <c r="G79" i="26"/>
  <c r="G78" i="26"/>
  <c r="G77" i="26"/>
  <c r="G76" i="26"/>
  <c r="G75" i="26"/>
  <c r="G74" i="26"/>
  <c r="G73" i="26"/>
  <c r="G72" i="26"/>
  <c r="G71" i="26"/>
  <c r="G70" i="26"/>
  <c r="A26" i="26" l="1"/>
  <c r="A27" i="26" l="1"/>
  <c r="A28" i="26" l="1"/>
  <c r="A29" i="26" l="1"/>
  <c r="A30" i="26" l="1"/>
  <c r="A31" i="26" s="1"/>
  <c r="A34" i="26" s="1"/>
  <c r="A35" i="26" l="1"/>
  <c r="A36" i="26"/>
  <c r="A39" i="26" s="1"/>
  <c r="A40" i="26" s="1"/>
  <c r="A41" i="26" s="1"/>
  <c r="A42" i="26" s="1"/>
  <c r="A43" i="26" s="1"/>
  <c r="A44" i="26" s="1"/>
  <c r="A47" i="26" s="1"/>
  <c r="A48" i="26" s="1"/>
  <c r="A49" i="26" s="1"/>
  <c r="A50" i="26" l="1"/>
  <c r="A51" i="26" s="1"/>
  <c r="A54" i="26" s="1"/>
  <c r="A55" i="26" s="1"/>
  <c r="A56" i="26" s="1"/>
  <c r="A57" i="26" s="1"/>
  <c r="A60" i="26" s="1"/>
  <c r="A61" i="26" s="1"/>
  <c r="A62" i="26" s="1"/>
  <c r="A65" i="26" s="1"/>
  <c r="A70" i="26" s="1"/>
  <c r="A71" i="26" s="1"/>
  <c r="A72" i="26" s="1"/>
  <c r="A73" i="26" s="1"/>
  <c r="A74" i="26" s="1"/>
  <c r="A75" i="26" s="1"/>
  <c r="A76" i="26" s="1"/>
  <c r="A77" i="26" s="1"/>
  <c r="A78" i="26" s="1"/>
  <c r="A79" i="26" s="1"/>
  <c r="A80" i="26" s="1"/>
  <c r="A81" i="26" s="1"/>
  <c r="A82" i="26" s="1"/>
  <c r="A83" i="26" s="1"/>
  <c r="A84" i="26" s="1"/>
  <c r="A85" i="26" s="1"/>
  <c r="A86" i="26" s="1"/>
  <c r="A87" i="26" s="1"/>
  <c r="A88" i="26" s="1"/>
  <c r="A89" i="26" s="1"/>
  <c r="A90" i="26" s="1"/>
  <c r="A91" i="26" s="1"/>
  <c r="A92" i="26" s="1"/>
  <c r="A93" i="26" s="1"/>
  <c r="A94" i="26" s="1"/>
  <c r="A95" i="26" s="1"/>
  <c r="A96" i="26" s="1"/>
  <c r="A97" i="26" s="1"/>
  <c r="A98" i="26" s="1"/>
  <c r="A99" i="26" s="1"/>
  <c r="A100" i="26" s="1"/>
  <c r="A101" i="26" s="1"/>
  <c r="A102" i="26" s="1"/>
  <c r="A103" i="26" s="1"/>
  <c r="A104" i="26" s="1"/>
  <c r="A105" i="26" s="1"/>
  <c r="A106" i="26" s="1"/>
  <c r="A107" i="26" s="1"/>
  <c r="A108" i="26" s="1"/>
  <c r="A109" i="26" s="1"/>
  <c r="A110" i="26" s="1"/>
  <c r="A111" i="26" s="1"/>
  <c r="A112" i="26" s="1"/>
  <c r="A113" i="26" s="1"/>
  <c r="A114" i="26" s="1"/>
  <c r="A115" i="26" s="1"/>
  <c r="A116" i="26" s="1"/>
  <c r="A117" i="26" s="1"/>
  <c r="A118" i="26" s="1"/>
  <c r="A119" i="26" s="1"/>
  <c r="A120" i="26" s="1"/>
  <c r="A121" i="26" s="1"/>
  <c r="A122" i="26" s="1"/>
  <c r="A123" i="26" s="1"/>
  <c r="A124" i="26" s="1"/>
  <c r="A125" i="26" s="1"/>
  <c r="A126" i="26" s="1"/>
  <c r="A127" i="26" s="1"/>
  <c r="A128" i="26" s="1"/>
  <c r="A129" i="26" s="1"/>
  <c r="A130" i="26" s="1"/>
  <c r="A131" i="26" s="1"/>
  <c r="A132" i="26" s="1"/>
  <c r="A133" i="26" s="1"/>
  <c r="A134" i="26" s="1"/>
  <c r="A135" i="26" s="1"/>
  <c r="A136" i="26" s="1"/>
  <c r="A137" i="26" s="1"/>
  <c r="A138" i="26" s="1"/>
  <c r="A139" i="26" s="1"/>
  <c r="A140" i="26" s="1"/>
  <c r="A143" i="26" s="1"/>
  <c r="A144" i="26" s="1"/>
  <c r="A145" i="26" s="1"/>
  <c r="A146" i="26" s="1"/>
  <c r="A149" i="26" s="1"/>
  <c r="A150" i="26" s="1"/>
  <c r="A151" i="26" s="1"/>
  <c r="A152" i="26" s="1"/>
  <c r="A153" i="26" s="1"/>
  <c r="A154" i="26" s="1"/>
  <c r="A155" i="26" s="1"/>
  <c r="A156" i="26" s="1"/>
  <c r="A157" i="26" s="1"/>
  <c r="A158" i="26" s="1"/>
  <c r="A159" i="26" s="1"/>
  <c r="A160" i="26" s="1"/>
  <c r="A161" i="26" s="1"/>
  <c r="A162" i="26" s="1"/>
  <c r="A163" i="26" s="1"/>
  <c r="A164" i="26" s="1"/>
  <c r="A165" i="26" s="1"/>
  <c r="A166" i="26" s="1"/>
  <c r="A167" i="26" s="1"/>
  <c r="A168" i="26" s="1"/>
  <c r="A169" i="26" s="1"/>
  <c r="A170" i="26" s="1"/>
  <c r="A171" i="26" s="1"/>
  <c r="A172" i="26" s="1"/>
  <c r="A173" i="26" s="1"/>
  <c r="A174" i="26" s="1"/>
  <c r="A175" i="26" s="1"/>
  <c r="A176" i="26" s="1"/>
  <c r="A177" i="26" s="1"/>
  <c r="A178" i="26" s="1"/>
  <c r="A179" i="26" s="1"/>
  <c r="A180" i="26" s="1"/>
  <c r="A181" i="26" s="1"/>
  <c r="A182" i="26" s="1"/>
  <c r="A183" i="26" s="1"/>
  <c r="A184" i="26" s="1"/>
  <c r="A185" i="26" s="1"/>
  <c r="A186" i="26" s="1"/>
  <c r="A187" i="26" s="1"/>
  <c r="A188" i="26" s="1"/>
  <c r="A189" i="26" s="1"/>
  <c r="A190" i="26" s="1"/>
  <c r="A191" i="26" s="1"/>
  <c r="A192" i="26" s="1"/>
  <c r="A193" i="26" s="1"/>
  <c r="A194" i="26" s="1"/>
  <c r="A195" i="26" s="1"/>
  <c r="A196" i="26" s="1"/>
  <c r="A199" i="26" s="1"/>
  <c r="A200" i="26" s="1"/>
  <c r="A203" i="26" s="1"/>
  <c r="A204" i="26" s="1"/>
  <c r="A205" i="26" s="1"/>
  <c r="A206" i="26" s="1"/>
  <c r="A207" i="26" s="1"/>
  <c r="A208" i="26" s="1"/>
  <c r="A209" i="26" s="1"/>
  <c r="A210" i="26" s="1"/>
  <c r="A211" i="26" s="1"/>
  <c r="A212" i="26" s="1"/>
  <c r="A213" i="26" s="1"/>
  <c r="A214" i="26" s="1"/>
  <c r="A215" i="26" s="1"/>
  <c r="A216" i="26" s="1"/>
  <c r="A219" i="26" s="1"/>
  <c r="A220" i="26" s="1"/>
  <c r="A221" i="26" s="1"/>
  <c r="A222" i="26" s="1"/>
  <c r="A225" i="26" s="1"/>
  <c r="A228" i="26" s="1"/>
  <c r="A229" i="26" s="1"/>
  <c r="A230" i="26" s="1"/>
  <c r="A231" i="26" s="1"/>
  <c r="A234" i="26" s="1"/>
  <c r="A236" i="26" l="1"/>
  <c r="D6" i="12" l="1"/>
  <c r="D5" i="12"/>
  <c r="D4" i="12"/>
  <c r="E20" i="12"/>
  <c r="M55" i="26"/>
  <c r="M54" i="26"/>
  <c r="M51" i="26"/>
  <c r="M50" i="26"/>
  <c r="M49" i="26"/>
  <c r="M48" i="26"/>
  <c r="M47" i="26"/>
  <c r="M44" i="26"/>
  <c r="M43" i="26"/>
  <c r="M42" i="26"/>
  <c r="M41" i="26"/>
  <c r="M40" i="26"/>
  <c r="M39" i="26"/>
  <c r="M36" i="26"/>
  <c r="M35" i="26"/>
  <c r="M34" i="26"/>
  <c r="M31" i="26"/>
  <c r="M30" i="26"/>
  <c r="M29" i="26"/>
  <c r="M28" i="26"/>
  <c r="M27" i="26"/>
  <c r="M26" i="26"/>
  <c r="M25" i="26"/>
  <c r="M24" i="26"/>
  <c r="M23" i="26"/>
  <c r="M22" i="26"/>
  <c r="R84" i="12" l="1"/>
  <c r="K52" i="12"/>
  <c r="K53" i="12"/>
  <c r="K54" i="12"/>
  <c r="K55" i="12"/>
  <c r="K56" i="12"/>
  <c r="K57" i="12"/>
  <c r="K58" i="12"/>
  <c r="K59" i="12"/>
  <c r="K60" i="12"/>
  <c r="K61" i="12"/>
  <c r="K62" i="12"/>
  <c r="K63" i="12"/>
  <c r="K64" i="12"/>
  <c r="K65" i="12"/>
  <c r="K66" i="12"/>
  <c r="K67" i="12"/>
  <c r="K68" i="12"/>
  <c r="K69" i="12"/>
  <c r="K70" i="12"/>
  <c r="K71" i="12"/>
  <c r="K72" i="12"/>
  <c r="K73" i="12"/>
  <c r="K74" i="12"/>
  <c r="K75" i="12"/>
  <c r="K76" i="12"/>
  <c r="K77" i="12"/>
  <c r="K78" i="12"/>
  <c r="K79" i="12"/>
  <c r="K80" i="12"/>
  <c r="K81" i="12"/>
  <c r="K82" i="12"/>
  <c r="K83" i="12"/>
  <c r="F11" i="31" l="1"/>
  <c r="G42" i="12"/>
  <c r="G88" i="12" s="1"/>
  <c r="G41" i="12"/>
  <c r="G40" i="12"/>
  <c r="G86" i="12" s="1"/>
  <c r="G39" i="12"/>
  <c r="G85" i="12" s="1"/>
  <c r="G87" i="12" l="1"/>
  <c r="M38" i="12"/>
  <c r="M84" i="12" l="1"/>
  <c r="M241" i="26" l="1"/>
  <c r="M240" i="26"/>
  <c r="M239" i="26"/>
  <c r="M238" i="26"/>
  <c r="M21" i="26"/>
  <c r="R38" i="12" l="1"/>
  <c r="L4" i="12" l="1"/>
  <c r="C122" i="22" l="1"/>
  <c r="C123" i="22"/>
  <c r="C118" i="22"/>
  <c r="C119" i="22"/>
  <c r="C120" i="22"/>
  <c r="C121" i="22"/>
  <c r="C117" i="22"/>
  <c r="C116" i="22"/>
  <c r="H230" i="26" l="1"/>
  <c r="I230" i="26" s="1"/>
  <c r="H231" i="26"/>
  <c r="I231" i="26" s="1"/>
  <c r="H229" i="26"/>
  <c r="I229" i="26" s="1"/>
  <c r="H228" i="26"/>
  <c r="I228" i="26" s="1"/>
  <c r="H55" i="26"/>
  <c r="I55" i="26" s="1"/>
  <c r="H65" i="26"/>
  <c r="I65" i="26" s="1"/>
  <c r="H51" i="26"/>
  <c r="I51" i="26" s="1"/>
  <c r="L51" i="26" s="1"/>
  <c r="N51" i="26" s="1"/>
  <c r="S51" i="26" s="1"/>
  <c r="T51" i="26" s="1"/>
  <c r="H60" i="26"/>
  <c r="I60" i="26" s="1"/>
  <c r="H61" i="26"/>
  <c r="I61" i="26" s="1"/>
  <c r="H57" i="26"/>
  <c r="I57" i="26" s="1"/>
  <c r="H56" i="26"/>
  <c r="I56" i="26" s="1"/>
  <c r="H54" i="26"/>
  <c r="I54" i="26" s="1"/>
  <c r="H62" i="26"/>
  <c r="I62" i="26" s="1"/>
  <c r="H214" i="26"/>
  <c r="I214" i="26" s="1"/>
  <c r="H206" i="26"/>
  <c r="I206" i="26" s="1"/>
  <c r="H195" i="26"/>
  <c r="I195" i="26" s="1"/>
  <c r="H188" i="26"/>
  <c r="I188" i="26" s="1"/>
  <c r="H181" i="26"/>
  <c r="I181" i="26" s="1"/>
  <c r="H173" i="26"/>
  <c r="I173" i="26" s="1"/>
  <c r="H166" i="26"/>
  <c r="I166" i="26" s="1"/>
  <c r="H225" i="26"/>
  <c r="I225" i="26" s="1"/>
  <c r="H213" i="26"/>
  <c r="I213" i="26" s="1"/>
  <c r="H194" i="26"/>
  <c r="I194" i="26" s="1"/>
  <c r="H187" i="26"/>
  <c r="I187" i="26" s="1"/>
  <c r="H222" i="26"/>
  <c r="I222" i="26" s="1"/>
  <c r="H212" i="26"/>
  <c r="I212" i="26" s="1"/>
  <c r="H205" i="26"/>
  <c r="I205" i="26" s="1"/>
  <c r="H186" i="26"/>
  <c r="I186" i="26" s="1"/>
  <c r="H179" i="26"/>
  <c r="I179" i="26" s="1"/>
  <c r="H171" i="26"/>
  <c r="I171" i="26" s="1"/>
  <c r="H164" i="26"/>
  <c r="I164" i="26" s="1"/>
  <c r="H219" i="26"/>
  <c r="I219" i="26" s="1"/>
  <c r="H209" i="26"/>
  <c r="I209" i="26" s="1"/>
  <c r="H200" i="26"/>
  <c r="I200" i="26" s="1"/>
  <c r="H191" i="26"/>
  <c r="I191" i="26" s="1"/>
  <c r="H184" i="26"/>
  <c r="I184" i="26" s="1"/>
  <c r="H176" i="26"/>
  <c r="I176" i="26" s="1"/>
  <c r="H169" i="26"/>
  <c r="I169" i="26" s="1"/>
  <c r="H154" i="26"/>
  <c r="I154" i="26" s="1"/>
  <c r="H234" i="26"/>
  <c r="I234" i="26" s="1"/>
  <c r="H211" i="26"/>
  <c r="I211" i="26" s="1"/>
  <c r="H193" i="26"/>
  <c r="I193" i="26" s="1"/>
  <c r="H180" i="26"/>
  <c r="I180" i="26" s="1"/>
  <c r="H168" i="26"/>
  <c r="I168" i="26" s="1"/>
  <c r="H158" i="26"/>
  <c r="I158" i="26" s="1"/>
  <c r="H150" i="26"/>
  <c r="I150" i="26" s="1"/>
  <c r="H138" i="26"/>
  <c r="I138" i="26" s="1"/>
  <c r="H130" i="26"/>
  <c r="I130" i="26" s="1"/>
  <c r="H122" i="26"/>
  <c r="I122" i="26" s="1"/>
  <c r="H114" i="26"/>
  <c r="I114" i="26" s="1"/>
  <c r="H106" i="26"/>
  <c r="I106" i="26" s="1"/>
  <c r="H98" i="26"/>
  <c r="I98" i="26" s="1"/>
  <c r="H90" i="26"/>
  <c r="I90" i="26" s="1"/>
  <c r="H77" i="26"/>
  <c r="I77" i="26" s="1"/>
  <c r="H70" i="26"/>
  <c r="I70" i="26" s="1"/>
  <c r="H210" i="26"/>
  <c r="I210" i="26" s="1"/>
  <c r="H192" i="26"/>
  <c r="I192" i="26" s="1"/>
  <c r="H178" i="26"/>
  <c r="I178" i="26" s="1"/>
  <c r="H167" i="26"/>
  <c r="I167" i="26" s="1"/>
  <c r="H157" i="26"/>
  <c r="I157" i="26" s="1"/>
  <c r="H149" i="26"/>
  <c r="I149" i="26" s="1"/>
  <c r="H137" i="26"/>
  <c r="I137" i="26" s="1"/>
  <c r="H129" i="26"/>
  <c r="I129" i="26" s="1"/>
  <c r="H121" i="26"/>
  <c r="I121" i="26" s="1"/>
  <c r="H113" i="26"/>
  <c r="I113" i="26" s="1"/>
  <c r="H105" i="26"/>
  <c r="I105" i="26" s="1"/>
  <c r="H97" i="26"/>
  <c r="I97" i="26" s="1"/>
  <c r="H89" i="26"/>
  <c r="I89" i="26" s="1"/>
  <c r="H83" i="26"/>
  <c r="I83" i="26" s="1"/>
  <c r="H208" i="26"/>
  <c r="I208" i="26" s="1"/>
  <c r="H190" i="26"/>
  <c r="I190" i="26" s="1"/>
  <c r="H177" i="26"/>
  <c r="I177" i="26" s="1"/>
  <c r="H165" i="26"/>
  <c r="I165" i="26" s="1"/>
  <c r="H156" i="26"/>
  <c r="I156" i="26" s="1"/>
  <c r="H146" i="26"/>
  <c r="I146" i="26" s="1"/>
  <c r="H136" i="26"/>
  <c r="I136" i="26" s="1"/>
  <c r="H128" i="26"/>
  <c r="I128" i="26" s="1"/>
  <c r="H120" i="26"/>
  <c r="I120" i="26" s="1"/>
  <c r="H112" i="26"/>
  <c r="I112" i="26" s="1"/>
  <c r="H104" i="26"/>
  <c r="I104" i="26" s="1"/>
  <c r="H96" i="26"/>
  <c r="I96" i="26" s="1"/>
  <c r="H88" i="26"/>
  <c r="I88" i="26" s="1"/>
  <c r="H82" i="26"/>
  <c r="I82" i="26" s="1"/>
  <c r="H76" i="26"/>
  <c r="I76" i="26" s="1"/>
  <c r="H207" i="26"/>
  <c r="I207" i="26" s="1"/>
  <c r="H189" i="26"/>
  <c r="I189" i="26" s="1"/>
  <c r="H175" i="26"/>
  <c r="I175" i="26" s="1"/>
  <c r="H163" i="26"/>
  <c r="I163" i="26" s="1"/>
  <c r="H155" i="26"/>
  <c r="I155" i="26" s="1"/>
  <c r="H145" i="26"/>
  <c r="I145" i="26" s="1"/>
  <c r="H135" i="26"/>
  <c r="I135" i="26" s="1"/>
  <c r="H127" i="26"/>
  <c r="I127" i="26" s="1"/>
  <c r="H119" i="26"/>
  <c r="I119" i="26" s="1"/>
  <c r="H111" i="26"/>
  <c r="I111" i="26" s="1"/>
  <c r="H103" i="26"/>
  <c r="I103" i="26" s="1"/>
  <c r="H95" i="26"/>
  <c r="I95" i="26" s="1"/>
  <c r="H87" i="26"/>
  <c r="I87" i="26" s="1"/>
  <c r="H81" i="26"/>
  <c r="I81" i="26" s="1"/>
  <c r="H75" i="26"/>
  <c r="I75" i="26" s="1"/>
  <c r="H221" i="26"/>
  <c r="I221" i="26" s="1"/>
  <c r="H204" i="26"/>
  <c r="I204" i="26" s="1"/>
  <c r="H174" i="26"/>
  <c r="I174" i="26" s="1"/>
  <c r="H162" i="26"/>
  <c r="I162" i="26" s="1"/>
  <c r="H144" i="26"/>
  <c r="I144" i="26" s="1"/>
  <c r="H134" i="26"/>
  <c r="I134" i="26" s="1"/>
  <c r="H126" i="26"/>
  <c r="I126" i="26" s="1"/>
  <c r="H118" i="26"/>
  <c r="I118" i="26" s="1"/>
  <c r="H110" i="26"/>
  <c r="I110" i="26" s="1"/>
  <c r="H102" i="26"/>
  <c r="I102" i="26" s="1"/>
  <c r="H94" i="26"/>
  <c r="I94" i="26" s="1"/>
  <c r="H86" i="26"/>
  <c r="I86" i="26" s="1"/>
  <c r="H80" i="26"/>
  <c r="I80" i="26" s="1"/>
  <c r="H74" i="26"/>
  <c r="I74" i="26" s="1"/>
  <c r="H216" i="26"/>
  <c r="I216" i="26" s="1"/>
  <c r="H199" i="26"/>
  <c r="I199" i="26" s="1"/>
  <c r="H183" i="26"/>
  <c r="I183" i="26" s="1"/>
  <c r="H170" i="26"/>
  <c r="I170" i="26" s="1"/>
  <c r="H160" i="26"/>
  <c r="I160" i="26" s="1"/>
  <c r="H152" i="26"/>
  <c r="I152" i="26" s="1"/>
  <c r="H140" i="26"/>
  <c r="I140" i="26" s="1"/>
  <c r="H132" i="26"/>
  <c r="I132" i="26" s="1"/>
  <c r="H124" i="26"/>
  <c r="I124" i="26" s="1"/>
  <c r="H116" i="26"/>
  <c r="I116" i="26" s="1"/>
  <c r="H108" i="26"/>
  <c r="I108" i="26" s="1"/>
  <c r="H100" i="26"/>
  <c r="I100" i="26" s="1"/>
  <c r="H92" i="26"/>
  <c r="I92" i="26" s="1"/>
  <c r="H85" i="26"/>
  <c r="I85" i="26" s="1"/>
  <c r="H78" i="26"/>
  <c r="I78" i="26" s="1"/>
  <c r="H72" i="26"/>
  <c r="I72" i="26" s="1"/>
  <c r="H185" i="26"/>
  <c r="I185" i="26" s="1"/>
  <c r="H143" i="26"/>
  <c r="I143" i="26" s="1"/>
  <c r="H109" i="26"/>
  <c r="I109" i="26" s="1"/>
  <c r="H79" i="26"/>
  <c r="I79" i="26" s="1"/>
  <c r="H182" i="26"/>
  <c r="I182" i="26" s="1"/>
  <c r="H139" i="26"/>
  <c r="I139" i="26" s="1"/>
  <c r="H107" i="26"/>
  <c r="I107" i="26" s="1"/>
  <c r="H172" i="26"/>
  <c r="I172" i="26" s="1"/>
  <c r="H133" i="26"/>
  <c r="I133" i="26" s="1"/>
  <c r="H101" i="26"/>
  <c r="I101" i="26" s="1"/>
  <c r="H73" i="26"/>
  <c r="I73" i="26" s="1"/>
  <c r="H131" i="26"/>
  <c r="I131" i="26" s="1"/>
  <c r="H99" i="26"/>
  <c r="I99" i="26" s="1"/>
  <c r="H71" i="26"/>
  <c r="I71" i="26" s="1"/>
  <c r="H220" i="26"/>
  <c r="I220" i="26" s="1"/>
  <c r="H161" i="26"/>
  <c r="I161" i="26" s="1"/>
  <c r="H125" i="26"/>
  <c r="I125" i="26" s="1"/>
  <c r="H93" i="26"/>
  <c r="I93" i="26" s="1"/>
  <c r="H151" i="26"/>
  <c r="I151" i="26" s="1"/>
  <c r="H215" i="26"/>
  <c r="I215" i="26" s="1"/>
  <c r="H159" i="26"/>
  <c r="I159" i="26" s="1"/>
  <c r="H123" i="26"/>
  <c r="I123" i="26" s="1"/>
  <c r="H91" i="26"/>
  <c r="I91" i="26" s="1"/>
  <c r="H196" i="26"/>
  <c r="I196" i="26" s="1"/>
  <c r="H84" i="26"/>
  <c r="I84" i="26" s="1"/>
  <c r="H203" i="26"/>
  <c r="I203" i="26" s="1"/>
  <c r="H153" i="26"/>
  <c r="I153" i="26" s="1"/>
  <c r="H117" i="26"/>
  <c r="I117" i="26" s="1"/>
  <c r="H115" i="26"/>
  <c r="I115" i="26" s="1"/>
  <c r="H43" i="26"/>
  <c r="I43" i="26" s="1"/>
  <c r="H31" i="26"/>
  <c r="I31" i="26" s="1"/>
  <c r="H23" i="26"/>
  <c r="I23" i="26" s="1"/>
  <c r="L23" i="26" s="1"/>
  <c r="N23" i="26" s="1"/>
  <c r="S23" i="26" s="1"/>
  <c r="T23" i="26" s="1"/>
  <c r="H42" i="26"/>
  <c r="I42" i="26" s="1"/>
  <c r="L42" i="26" s="1"/>
  <c r="N42" i="26" s="1"/>
  <c r="S42" i="26" s="1"/>
  <c r="T42" i="26" s="1"/>
  <c r="H30" i="26"/>
  <c r="I30" i="26" s="1"/>
  <c r="L30" i="26" s="1"/>
  <c r="N30" i="26" s="1"/>
  <c r="S30" i="26" s="1"/>
  <c r="T30" i="26" s="1"/>
  <c r="H22" i="26"/>
  <c r="I22" i="26" s="1"/>
  <c r="L22" i="26" s="1"/>
  <c r="N22" i="26" s="1"/>
  <c r="S22" i="26" s="1"/>
  <c r="T22" i="26" s="1"/>
  <c r="H41" i="26"/>
  <c r="I41" i="26" s="1"/>
  <c r="L41" i="26" s="1"/>
  <c r="N41" i="26" s="1"/>
  <c r="S41" i="26" s="1"/>
  <c r="T41" i="26" s="1"/>
  <c r="H29" i="26"/>
  <c r="I29" i="26" s="1"/>
  <c r="L29" i="26" s="1"/>
  <c r="N29" i="26" s="1"/>
  <c r="S29" i="26" s="1"/>
  <c r="T29" i="26" s="1"/>
  <c r="L62" i="26"/>
  <c r="N62" i="26" s="1"/>
  <c r="S62" i="26" s="1"/>
  <c r="T62" i="26" s="1"/>
  <c r="H50" i="26"/>
  <c r="I50" i="26" s="1"/>
  <c r="L50" i="26" s="1"/>
  <c r="N50" i="26" s="1"/>
  <c r="S50" i="26" s="1"/>
  <c r="T50" i="26" s="1"/>
  <c r="H40" i="26"/>
  <c r="I40" i="26" s="1"/>
  <c r="L40" i="26" s="1"/>
  <c r="N40" i="26" s="1"/>
  <c r="S40" i="26" s="1"/>
  <c r="T40" i="26" s="1"/>
  <c r="H28" i="26"/>
  <c r="I28" i="26" s="1"/>
  <c r="L28" i="26" s="1"/>
  <c r="N28" i="26" s="1"/>
  <c r="S28" i="26" s="1"/>
  <c r="T28" i="26" s="1"/>
  <c r="L61" i="26"/>
  <c r="N61" i="26" s="1"/>
  <c r="S61" i="26" s="1"/>
  <c r="T61" i="26" s="1"/>
  <c r="H49" i="26"/>
  <c r="I49" i="26" s="1"/>
  <c r="L49" i="26" s="1"/>
  <c r="N49" i="26" s="1"/>
  <c r="S49" i="26" s="1"/>
  <c r="T49" i="26" s="1"/>
  <c r="H39" i="26"/>
  <c r="I39" i="26" s="1"/>
  <c r="H27" i="26"/>
  <c r="I27" i="26" s="1"/>
  <c r="L60" i="26"/>
  <c r="N60" i="26" s="1"/>
  <c r="S60" i="26" s="1"/>
  <c r="T60" i="26" s="1"/>
  <c r="H48" i="26"/>
  <c r="I48" i="26" s="1"/>
  <c r="L48" i="26" s="1"/>
  <c r="N48" i="26" s="1"/>
  <c r="S48" i="26" s="1"/>
  <c r="T48" i="26" s="1"/>
  <c r="H36" i="26"/>
  <c r="I36" i="26" s="1"/>
  <c r="H26" i="26"/>
  <c r="I26" i="26" s="1"/>
  <c r="L26" i="26" s="1"/>
  <c r="N26" i="26" s="1"/>
  <c r="S26" i="26" s="1"/>
  <c r="T26" i="26" s="1"/>
  <c r="L56" i="26"/>
  <c r="N56" i="26" s="1"/>
  <c r="S56" i="26" s="1"/>
  <c r="T56" i="26" s="1"/>
  <c r="H44" i="26"/>
  <c r="I44" i="26" s="1"/>
  <c r="H34" i="26"/>
  <c r="I34" i="26" s="1"/>
  <c r="H24" i="26"/>
  <c r="I24" i="26" s="1"/>
  <c r="L24" i="26" s="1"/>
  <c r="N24" i="26" s="1"/>
  <c r="S24" i="26" s="1"/>
  <c r="T24" i="26" s="1"/>
  <c r="H47" i="26"/>
  <c r="I47" i="26" s="1"/>
  <c r="L47" i="26" s="1"/>
  <c r="N47" i="26" s="1"/>
  <c r="S47" i="26" s="1"/>
  <c r="T47" i="26" s="1"/>
  <c r="H35" i="26"/>
  <c r="I35" i="26" s="1"/>
  <c r="H25" i="26"/>
  <c r="I25" i="26" s="1"/>
  <c r="L25" i="26" s="1"/>
  <c r="N25" i="26" s="1"/>
  <c r="S25" i="26" s="1"/>
  <c r="T25" i="26" s="1"/>
  <c r="L57" i="26"/>
  <c r="N57" i="26" s="1"/>
  <c r="S57" i="26" s="1"/>
  <c r="T57" i="26" s="1"/>
  <c r="H21" i="26"/>
  <c r="I21" i="26" s="1"/>
  <c r="L21" i="26" s="1"/>
  <c r="L143" i="26" l="1"/>
  <c r="N143" i="26" s="1"/>
  <c r="P143" i="26"/>
  <c r="L221" i="26"/>
  <c r="N221" i="26" s="1"/>
  <c r="P221" i="26"/>
  <c r="P83" i="26"/>
  <c r="L83" i="26"/>
  <c r="N83" i="26" s="1"/>
  <c r="L166" i="26"/>
  <c r="N166" i="26" s="1"/>
  <c r="P166" i="26"/>
  <c r="L84" i="26"/>
  <c r="N84" i="26" s="1"/>
  <c r="P84" i="26"/>
  <c r="L220" i="26"/>
  <c r="N220" i="26" s="1"/>
  <c r="P220" i="26"/>
  <c r="P73" i="26"/>
  <c r="L73" i="26"/>
  <c r="N73" i="26" s="1"/>
  <c r="P107" i="26"/>
  <c r="L107" i="26"/>
  <c r="N107" i="26" s="1"/>
  <c r="L185" i="26"/>
  <c r="N185" i="26" s="1"/>
  <c r="P185" i="26"/>
  <c r="P92" i="26"/>
  <c r="L92" i="26"/>
  <c r="N92" i="26" s="1"/>
  <c r="L160" i="26"/>
  <c r="N160" i="26" s="1"/>
  <c r="P160" i="26"/>
  <c r="L118" i="26"/>
  <c r="N118" i="26" s="1"/>
  <c r="P118" i="26"/>
  <c r="P81" i="26"/>
  <c r="L81" i="26"/>
  <c r="N81" i="26" s="1"/>
  <c r="P145" i="26"/>
  <c r="L145" i="26"/>
  <c r="N145" i="26" s="1"/>
  <c r="S145" i="26" s="1"/>
  <c r="T145" i="26" s="1"/>
  <c r="L82" i="26"/>
  <c r="N82" i="26" s="1"/>
  <c r="P82" i="26"/>
  <c r="P146" i="26"/>
  <c r="L146" i="26"/>
  <c r="N146" i="26" s="1"/>
  <c r="L89" i="26"/>
  <c r="N89" i="26" s="1"/>
  <c r="P89" i="26"/>
  <c r="L157" i="26"/>
  <c r="N157" i="26" s="1"/>
  <c r="P157" i="26"/>
  <c r="L114" i="26"/>
  <c r="N114" i="26" s="1"/>
  <c r="P114" i="26"/>
  <c r="P193" i="26"/>
  <c r="L193" i="26"/>
  <c r="N193" i="26" s="1"/>
  <c r="L200" i="26"/>
  <c r="N200" i="26" s="1"/>
  <c r="P200" i="26"/>
  <c r="L212" i="26"/>
  <c r="N212" i="26" s="1"/>
  <c r="P212" i="26"/>
  <c r="L173" i="26"/>
  <c r="N173" i="26" s="1"/>
  <c r="P173" i="26"/>
  <c r="L85" i="26"/>
  <c r="N85" i="26" s="1"/>
  <c r="P85" i="26"/>
  <c r="L149" i="26"/>
  <c r="N149" i="26" s="1"/>
  <c r="P149" i="26"/>
  <c r="P196" i="26"/>
  <c r="L196" i="26"/>
  <c r="N196" i="26" s="1"/>
  <c r="L101" i="26"/>
  <c r="N101" i="26" s="1"/>
  <c r="P101" i="26"/>
  <c r="L139" i="26"/>
  <c r="N139" i="26" s="1"/>
  <c r="P139" i="26"/>
  <c r="P100" i="26"/>
  <c r="L100" i="26"/>
  <c r="N100" i="26" s="1"/>
  <c r="P170" i="26"/>
  <c r="L170" i="26"/>
  <c r="N170" i="26" s="1"/>
  <c r="L126" i="26"/>
  <c r="N126" i="26" s="1"/>
  <c r="P126" i="26"/>
  <c r="L87" i="26"/>
  <c r="N87" i="26" s="1"/>
  <c r="P87" i="26"/>
  <c r="P155" i="26"/>
  <c r="L155" i="26"/>
  <c r="N155" i="26" s="1"/>
  <c r="P88" i="26"/>
  <c r="L88" i="26"/>
  <c r="N88" i="26" s="1"/>
  <c r="L156" i="26"/>
  <c r="N156" i="26" s="1"/>
  <c r="P156" i="26"/>
  <c r="P97" i="26"/>
  <c r="L97" i="26"/>
  <c r="N97" i="26" s="1"/>
  <c r="P167" i="26"/>
  <c r="L167" i="26"/>
  <c r="N167" i="26" s="1"/>
  <c r="P122" i="26"/>
  <c r="L122" i="26"/>
  <c r="N122" i="26" s="1"/>
  <c r="P211" i="26"/>
  <c r="L211" i="26"/>
  <c r="N211" i="26" s="1"/>
  <c r="P209" i="26"/>
  <c r="L209" i="26"/>
  <c r="N209" i="26" s="1"/>
  <c r="L222" i="26"/>
  <c r="N222" i="26" s="1"/>
  <c r="P222" i="26"/>
  <c r="L181" i="26"/>
  <c r="N181" i="26" s="1"/>
  <c r="P181" i="26"/>
  <c r="P161" i="26"/>
  <c r="L161" i="26"/>
  <c r="N161" i="26" s="1"/>
  <c r="S161" i="26" s="1"/>
  <c r="T161" i="26" s="1"/>
  <c r="L136" i="26"/>
  <c r="N136" i="26" s="1"/>
  <c r="P136" i="26"/>
  <c r="L180" i="26"/>
  <c r="N180" i="26" s="1"/>
  <c r="P180" i="26"/>
  <c r="P115" i="26"/>
  <c r="L115" i="26"/>
  <c r="N115" i="26" s="1"/>
  <c r="L71" i="26"/>
  <c r="N71" i="26" s="1"/>
  <c r="P71" i="26"/>
  <c r="P133" i="26"/>
  <c r="L133" i="26"/>
  <c r="N133" i="26" s="1"/>
  <c r="P182" i="26"/>
  <c r="L182" i="26"/>
  <c r="N182" i="26" s="1"/>
  <c r="L108" i="26"/>
  <c r="N108" i="26" s="1"/>
  <c r="P108" i="26"/>
  <c r="L183" i="26"/>
  <c r="N183" i="26" s="1"/>
  <c r="P183" i="26"/>
  <c r="P74" i="26"/>
  <c r="L74" i="26"/>
  <c r="N74" i="26" s="1"/>
  <c r="S74" i="26" s="1"/>
  <c r="T74" i="26" s="1"/>
  <c r="P134" i="26"/>
  <c r="L134" i="26"/>
  <c r="N134" i="26" s="1"/>
  <c r="L95" i="26"/>
  <c r="N95" i="26" s="1"/>
  <c r="P95" i="26"/>
  <c r="L163" i="26"/>
  <c r="N163" i="26" s="1"/>
  <c r="P163" i="26"/>
  <c r="P96" i="26"/>
  <c r="L96" i="26"/>
  <c r="N96" i="26" s="1"/>
  <c r="S96" i="26" s="1"/>
  <c r="T96" i="26" s="1"/>
  <c r="L165" i="26"/>
  <c r="N165" i="26" s="1"/>
  <c r="P165" i="26"/>
  <c r="L105" i="26"/>
  <c r="N105" i="26" s="1"/>
  <c r="P105" i="26"/>
  <c r="L178" i="26"/>
  <c r="N178" i="26" s="1"/>
  <c r="P178" i="26"/>
  <c r="L130" i="26"/>
  <c r="N130" i="26" s="1"/>
  <c r="P130" i="26"/>
  <c r="P234" i="26"/>
  <c r="L234" i="26"/>
  <c r="N234" i="26" s="1"/>
  <c r="P219" i="26"/>
  <c r="L219" i="26"/>
  <c r="N219" i="26" s="1"/>
  <c r="P187" i="26"/>
  <c r="L187" i="26"/>
  <c r="N187" i="26" s="1"/>
  <c r="L188" i="26"/>
  <c r="N188" i="26" s="1"/>
  <c r="P188" i="26"/>
  <c r="L228" i="26"/>
  <c r="N228" i="26" s="1"/>
  <c r="P228" i="26"/>
  <c r="P75" i="26"/>
  <c r="L75" i="26"/>
  <c r="N75" i="26" s="1"/>
  <c r="L191" i="26"/>
  <c r="N191" i="26" s="1"/>
  <c r="P191" i="26"/>
  <c r="L117" i="26"/>
  <c r="N117" i="26" s="1"/>
  <c r="P117" i="26"/>
  <c r="L172" i="26"/>
  <c r="N172" i="26" s="1"/>
  <c r="P172" i="26"/>
  <c r="P116" i="26"/>
  <c r="L116" i="26"/>
  <c r="N116" i="26" s="1"/>
  <c r="L104" i="26"/>
  <c r="N104" i="26" s="1"/>
  <c r="P104" i="26"/>
  <c r="P177" i="26"/>
  <c r="L177" i="26"/>
  <c r="N177" i="26" s="1"/>
  <c r="L113" i="26"/>
  <c r="N113" i="26" s="1"/>
  <c r="P113" i="26"/>
  <c r="P192" i="26"/>
  <c r="L192" i="26"/>
  <c r="N192" i="26" s="1"/>
  <c r="P70" i="26"/>
  <c r="L70" i="26"/>
  <c r="N70" i="26" s="1"/>
  <c r="P138" i="26"/>
  <c r="L138" i="26"/>
  <c r="N138" i="26" s="1"/>
  <c r="L154" i="26"/>
  <c r="N154" i="26" s="1"/>
  <c r="P154" i="26"/>
  <c r="P164" i="26"/>
  <c r="L164" i="26"/>
  <c r="N164" i="26" s="1"/>
  <c r="L194" i="26"/>
  <c r="N194" i="26" s="1"/>
  <c r="P194" i="26"/>
  <c r="P195" i="26"/>
  <c r="L195" i="26"/>
  <c r="N195" i="26" s="1"/>
  <c r="L110" i="26"/>
  <c r="N110" i="26" s="1"/>
  <c r="P110" i="26"/>
  <c r="P205" i="26"/>
  <c r="L205" i="26"/>
  <c r="N205" i="26" s="1"/>
  <c r="P91" i="26"/>
  <c r="L91" i="26"/>
  <c r="N91" i="26" s="1"/>
  <c r="S91" i="26" s="1"/>
  <c r="T91" i="26" s="1"/>
  <c r="P144" i="26"/>
  <c r="L144" i="26"/>
  <c r="N144" i="26" s="1"/>
  <c r="P103" i="26"/>
  <c r="L103" i="26"/>
  <c r="N103" i="26" s="1"/>
  <c r="P153" i="26"/>
  <c r="L153" i="26"/>
  <c r="N153" i="26" s="1"/>
  <c r="P123" i="26"/>
  <c r="L123" i="26"/>
  <c r="N123" i="26" s="1"/>
  <c r="P131" i="26"/>
  <c r="L131" i="26"/>
  <c r="N131" i="26" s="1"/>
  <c r="P124" i="26"/>
  <c r="L124" i="26"/>
  <c r="N124" i="26" s="1"/>
  <c r="P216" i="26"/>
  <c r="L216" i="26"/>
  <c r="N216" i="26" s="1"/>
  <c r="L86" i="26"/>
  <c r="N86" i="26" s="1"/>
  <c r="P86" i="26"/>
  <c r="L162" i="26"/>
  <c r="N162" i="26" s="1"/>
  <c r="P162" i="26"/>
  <c r="P111" i="26"/>
  <c r="L111" i="26"/>
  <c r="N111" i="26" s="1"/>
  <c r="L189" i="26"/>
  <c r="N189" i="26" s="1"/>
  <c r="P189" i="26"/>
  <c r="L112" i="26"/>
  <c r="N112" i="26" s="1"/>
  <c r="P112" i="26"/>
  <c r="P190" i="26"/>
  <c r="L190" i="26"/>
  <c r="N190" i="26" s="1"/>
  <c r="L121" i="26"/>
  <c r="N121" i="26" s="1"/>
  <c r="P121" i="26"/>
  <c r="P210" i="26"/>
  <c r="L210" i="26"/>
  <c r="N210" i="26" s="1"/>
  <c r="L77" i="26"/>
  <c r="N77" i="26" s="1"/>
  <c r="P77" i="26"/>
  <c r="L150" i="26"/>
  <c r="N150" i="26" s="1"/>
  <c r="P150" i="26"/>
  <c r="P169" i="26"/>
  <c r="L169" i="26"/>
  <c r="N169" i="26" s="1"/>
  <c r="L171" i="26"/>
  <c r="N171" i="26" s="1"/>
  <c r="P171" i="26"/>
  <c r="L213" i="26"/>
  <c r="N213" i="26" s="1"/>
  <c r="P213" i="26"/>
  <c r="P206" i="26"/>
  <c r="L206" i="26"/>
  <c r="N206" i="26" s="1"/>
  <c r="L231" i="26"/>
  <c r="N231" i="26" s="1"/>
  <c r="P231" i="26"/>
  <c r="L135" i="26"/>
  <c r="N135" i="26" s="1"/>
  <c r="P135" i="26"/>
  <c r="P99" i="26"/>
  <c r="L99" i="26"/>
  <c r="N99" i="26" s="1"/>
  <c r="L199" i="26"/>
  <c r="N199" i="26" s="1"/>
  <c r="P199" i="26"/>
  <c r="P203" i="26"/>
  <c r="L203" i="26"/>
  <c r="N203" i="26" s="1"/>
  <c r="L159" i="26"/>
  <c r="N159" i="26" s="1"/>
  <c r="P159" i="26"/>
  <c r="L93" i="26"/>
  <c r="N93" i="26" s="1"/>
  <c r="P93" i="26"/>
  <c r="L79" i="26"/>
  <c r="N79" i="26" s="1"/>
  <c r="P79" i="26"/>
  <c r="P72" i="26"/>
  <c r="L72" i="26"/>
  <c r="N72" i="26" s="1"/>
  <c r="P132" i="26"/>
  <c r="L132" i="26"/>
  <c r="N132" i="26" s="1"/>
  <c r="L94" i="26"/>
  <c r="N94" i="26" s="1"/>
  <c r="P94" i="26"/>
  <c r="P174" i="26"/>
  <c r="L174" i="26"/>
  <c r="N174" i="26" s="1"/>
  <c r="L119" i="26"/>
  <c r="N119" i="26" s="1"/>
  <c r="P119" i="26"/>
  <c r="P207" i="26"/>
  <c r="L207" i="26"/>
  <c r="N207" i="26" s="1"/>
  <c r="P120" i="26"/>
  <c r="L120" i="26"/>
  <c r="N120" i="26" s="1"/>
  <c r="L208" i="26"/>
  <c r="N208" i="26" s="1"/>
  <c r="P208" i="26"/>
  <c r="P129" i="26"/>
  <c r="L129" i="26"/>
  <c r="N129" i="26" s="1"/>
  <c r="L90" i="26"/>
  <c r="N90" i="26" s="1"/>
  <c r="P90" i="26"/>
  <c r="L158" i="26"/>
  <c r="N158" i="26" s="1"/>
  <c r="P158" i="26"/>
  <c r="L176" i="26"/>
  <c r="N176" i="26" s="1"/>
  <c r="P176" i="26"/>
  <c r="P179" i="26"/>
  <c r="L179" i="26"/>
  <c r="N179" i="26" s="1"/>
  <c r="S179" i="26" s="1"/>
  <c r="T179" i="26" s="1"/>
  <c r="L225" i="26"/>
  <c r="N225" i="26" s="1"/>
  <c r="P225" i="26"/>
  <c r="P214" i="26"/>
  <c r="L214" i="26"/>
  <c r="N214" i="26" s="1"/>
  <c r="P229" i="26"/>
  <c r="L229" i="26"/>
  <c r="N229" i="26" s="1"/>
  <c r="L151" i="26"/>
  <c r="N151" i="26" s="1"/>
  <c r="P151" i="26"/>
  <c r="P152" i="26"/>
  <c r="L152" i="26"/>
  <c r="N152" i="26" s="1"/>
  <c r="L76" i="26"/>
  <c r="N76" i="26" s="1"/>
  <c r="P76" i="26"/>
  <c r="L106" i="26"/>
  <c r="N106" i="26" s="1"/>
  <c r="P106" i="26"/>
  <c r="L230" i="26"/>
  <c r="N230" i="26" s="1"/>
  <c r="P230" i="26"/>
  <c r="P80" i="26"/>
  <c r="L80" i="26"/>
  <c r="N80" i="26" s="1"/>
  <c r="P175" i="26"/>
  <c r="L175" i="26"/>
  <c r="N175" i="26" s="1"/>
  <c r="L215" i="26"/>
  <c r="N215" i="26" s="1"/>
  <c r="P215" i="26"/>
  <c r="L125" i="26"/>
  <c r="N125" i="26" s="1"/>
  <c r="P125" i="26"/>
  <c r="P109" i="26"/>
  <c r="L109" i="26"/>
  <c r="N109" i="26" s="1"/>
  <c r="L78" i="26"/>
  <c r="N78" i="26" s="1"/>
  <c r="P78" i="26"/>
  <c r="L140" i="26"/>
  <c r="N140" i="26" s="1"/>
  <c r="P140" i="26"/>
  <c r="L102" i="26"/>
  <c r="N102" i="26" s="1"/>
  <c r="P102" i="26"/>
  <c r="L204" i="26"/>
  <c r="N204" i="26" s="1"/>
  <c r="P204" i="26"/>
  <c r="P127" i="26"/>
  <c r="L127" i="26"/>
  <c r="N127" i="26" s="1"/>
  <c r="L128" i="26"/>
  <c r="N128" i="26" s="1"/>
  <c r="S128" i="26" s="1"/>
  <c r="T128" i="26" s="1"/>
  <c r="P128" i="26"/>
  <c r="L137" i="26"/>
  <c r="N137" i="26" s="1"/>
  <c r="P137" i="26"/>
  <c r="L98" i="26"/>
  <c r="N98" i="26" s="1"/>
  <c r="P98" i="26"/>
  <c r="L168" i="26"/>
  <c r="N168" i="26" s="1"/>
  <c r="P168" i="26"/>
  <c r="P184" i="26"/>
  <c r="L184" i="26"/>
  <c r="N184" i="26" s="1"/>
  <c r="L186" i="26"/>
  <c r="N186" i="26" s="1"/>
  <c r="P186" i="26"/>
  <c r="L31" i="26"/>
  <c r="N31" i="26" s="1"/>
  <c r="S31" i="26" s="1"/>
  <c r="T31" i="26" s="1"/>
  <c r="Q48" i="26"/>
  <c r="Q22" i="26"/>
  <c r="Q40" i="26"/>
  <c r="N21" i="26"/>
  <c r="Q23" i="26"/>
  <c r="Q49" i="26"/>
  <c r="Q51" i="26"/>
  <c r="Q62" i="26"/>
  <c r="Q28" i="26"/>
  <c r="Q26" i="26"/>
  <c r="Q30" i="26"/>
  <c r="Q60" i="26"/>
  <c r="Q29" i="26"/>
  <c r="Q47" i="26"/>
  <c r="Q24" i="26"/>
  <c r="Q42" i="26"/>
  <c r="Q56" i="26"/>
  <c r="Q41" i="26"/>
  <c r="Q61" i="26"/>
  <c r="Q25" i="26"/>
  <c r="Q50" i="26"/>
  <c r="Q57" i="26"/>
  <c r="S144" i="26" l="1"/>
  <c r="T144" i="26" s="1"/>
  <c r="S175" i="26"/>
  <c r="T175" i="26" s="1"/>
  <c r="S194" i="26"/>
  <c r="T194" i="26" s="1"/>
  <c r="S113" i="26"/>
  <c r="T113" i="26" s="1"/>
  <c r="S184" i="26"/>
  <c r="T184" i="26" s="1"/>
  <c r="Q204" i="26"/>
  <c r="S177" i="26"/>
  <c r="T177" i="26" s="1"/>
  <c r="S92" i="26"/>
  <c r="T92" i="26" s="1"/>
  <c r="S168" i="26"/>
  <c r="T168" i="26" s="1"/>
  <c r="S102" i="26"/>
  <c r="T102" i="26" s="1"/>
  <c r="S110" i="26"/>
  <c r="T110" i="26" s="1"/>
  <c r="S104" i="26"/>
  <c r="T104" i="26" s="1"/>
  <c r="S171" i="26"/>
  <c r="T171" i="26" s="1"/>
  <c r="S109" i="26"/>
  <c r="T109" i="26" s="1"/>
  <c r="S151" i="26"/>
  <c r="T151" i="26" s="1"/>
  <c r="Q90" i="26"/>
  <c r="S111" i="26"/>
  <c r="T111" i="26" s="1"/>
  <c r="S123" i="26"/>
  <c r="T123" i="26" s="1"/>
  <c r="S133" i="26"/>
  <c r="T133" i="26" s="1"/>
  <c r="S137" i="26"/>
  <c r="T137" i="26" s="1"/>
  <c r="S195" i="26"/>
  <c r="T195" i="26" s="1"/>
  <c r="S192" i="26"/>
  <c r="T192" i="26" s="1"/>
  <c r="S187" i="26"/>
  <c r="T187" i="26" s="1"/>
  <c r="Q105" i="26"/>
  <c r="Q95" i="26"/>
  <c r="Q181" i="26"/>
  <c r="S167" i="26"/>
  <c r="T167" i="26" s="1"/>
  <c r="S155" i="26"/>
  <c r="T155" i="26" s="1"/>
  <c r="S100" i="26"/>
  <c r="T100" i="26" s="1"/>
  <c r="S193" i="26"/>
  <c r="T193" i="26" s="1"/>
  <c r="S83" i="26"/>
  <c r="T83" i="26" s="1"/>
  <c r="S215" i="26"/>
  <c r="T215" i="26" s="1"/>
  <c r="S146" i="26"/>
  <c r="T146" i="26" s="1"/>
  <c r="Q118" i="26"/>
  <c r="S107" i="26"/>
  <c r="T107" i="26" s="1"/>
  <c r="S136" i="26"/>
  <c r="T136" i="26" s="1"/>
  <c r="S222" i="26"/>
  <c r="T222" i="26" s="1"/>
  <c r="S87" i="26"/>
  <c r="T87" i="26" s="1"/>
  <c r="S149" i="26"/>
  <c r="T149" i="26" s="1"/>
  <c r="S114" i="26"/>
  <c r="T114" i="26" s="1"/>
  <c r="S183" i="26"/>
  <c r="T183" i="26" s="1"/>
  <c r="S71" i="26"/>
  <c r="T71" i="26" s="1"/>
  <c r="S89" i="26"/>
  <c r="T89" i="26" s="1"/>
  <c r="S120" i="26"/>
  <c r="T120" i="26" s="1"/>
  <c r="S99" i="26"/>
  <c r="T99" i="26" s="1"/>
  <c r="S169" i="26"/>
  <c r="T169" i="26" s="1"/>
  <c r="S190" i="26"/>
  <c r="T190" i="26" s="1"/>
  <c r="S103" i="26"/>
  <c r="T103" i="26" s="1"/>
  <c r="S70" i="26"/>
  <c r="T70" i="26" s="1"/>
  <c r="S191" i="26"/>
  <c r="T191" i="26" s="1"/>
  <c r="S170" i="26"/>
  <c r="T170" i="26" s="1"/>
  <c r="S165" i="26"/>
  <c r="T165" i="26" s="1"/>
  <c r="S93" i="26"/>
  <c r="T93" i="26" s="1"/>
  <c r="S77" i="26"/>
  <c r="T77" i="26" s="1"/>
  <c r="S82" i="26"/>
  <c r="T82" i="26" s="1"/>
  <c r="S203" i="26"/>
  <c r="T203" i="26" s="1"/>
  <c r="S211" i="26"/>
  <c r="T211" i="26" s="1"/>
  <c r="S208" i="26"/>
  <c r="T208" i="26" s="1"/>
  <c r="S212" i="26"/>
  <c r="T212" i="26" s="1"/>
  <c r="S199" i="26"/>
  <c r="T199" i="26" s="1"/>
  <c r="S189" i="26"/>
  <c r="T189" i="26" s="1"/>
  <c r="S172" i="26"/>
  <c r="T172" i="26" s="1"/>
  <c r="S176" i="26"/>
  <c r="T176" i="26" s="1"/>
  <c r="S78" i="26"/>
  <c r="T78" i="26" s="1"/>
  <c r="S79" i="26"/>
  <c r="T79" i="26" s="1"/>
  <c r="S101" i="26"/>
  <c r="T101" i="26" s="1"/>
  <c r="S84" i="26"/>
  <c r="T84" i="26" s="1"/>
  <c r="Q150" i="26"/>
  <c r="Q86" i="26"/>
  <c r="Q143" i="26"/>
  <c r="S75" i="26"/>
  <c r="T75" i="26" s="1"/>
  <c r="Q98" i="26"/>
  <c r="S76" i="26"/>
  <c r="T76" i="26" s="1"/>
  <c r="S229" i="26"/>
  <c r="T229" i="26" s="1"/>
  <c r="Q225" i="26"/>
  <c r="S129" i="26"/>
  <c r="T129" i="26" s="1"/>
  <c r="Q119" i="26"/>
  <c r="S72" i="26"/>
  <c r="T72" i="26" s="1"/>
  <c r="Q159" i="26"/>
  <c r="S160" i="26"/>
  <c r="T160" i="26" s="1"/>
  <c r="S220" i="26"/>
  <c r="T220" i="26" s="1"/>
  <c r="S94" i="26"/>
  <c r="T94" i="26" s="1"/>
  <c r="S188" i="26"/>
  <c r="T188" i="26" s="1"/>
  <c r="S108" i="26"/>
  <c r="T108" i="26" s="1"/>
  <c r="S200" i="26"/>
  <c r="T200" i="26" s="1"/>
  <c r="S185" i="26"/>
  <c r="T185" i="26" s="1"/>
  <c r="S135" i="26"/>
  <c r="T135" i="26" s="1"/>
  <c r="S178" i="26"/>
  <c r="T178" i="26" s="1"/>
  <c r="S163" i="26"/>
  <c r="T163" i="26" s="1"/>
  <c r="S230" i="26"/>
  <c r="T230" i="26" s="1"/>
  <c r="S204" i="26"/>
  <c r="T204" i="26" s="1"/>
  <c r="S90" i="26"/>
  <c r="T90" i="26" s="1"/>
  <c r="S80" i="26"/>
  <c r="T80" i="26" s="1"/>
  <c r="S106" i="26"/>
  <c r="T106" i="26" s="1"/>
  <c r="S214" i="26"/>
  <c r="T214" i="26" s="1"/>
  <c r="S207" i="26"/>
  <c r="T207" i="26" s="1"/>
  <c r="S132" i="26"/>
  <c r="T132" i="26" s="1"/>
  <c r="S186" i="26"/>
  <c r="T186" i="26" s="1"/>
  <c r="S162" i="26"/>
  <c r="T162" i="26" s="1"/>
  <c r="S98" i="26"/>
  <c r="T98" i="26" s="1"/>
  <c r="S152" i="26"/>
  <c r="T152" i="26" s="1"/>
  <c r="S225" i="26"/>
  <c r="T225" i="26" s="1"/>
  <c r="S119" i="26"/>
  <c r="T119" i="26" s="1"/>
  <c r="S159" i="26"/>
  <c r="T159" i="26" s="1"/>
  <c r="S140" i="26"/>
  <c r="T140" i="26" s="1"/>
  <c r="S125" i="26"/>
  <c r="T125" i="26" s="1"/>
  <c r="Q137" i="26"/>
  <c r="S127" i="26"/>
  <c r="T127" i="26" s="1"/>
  <c r="Q78" i="26"/>
  <c r="Q215" i="26"/>
  <c r="S174" i="26"/>
  <c r="T174" i="26" s="1"/>
  <c r="Q79" i="26"/>
  <c r="S158" i="26"/>
  <c r="T158" i="26" s="1"/>
  <c r="S150" i="26"/>
  <c r="T150" i="26" s="1"/>
  <c r="S112" i="26"/>
  <c r="T112" i="26" s="1"/>
  <c r="S86" i="26"/>
  <c r="T86" i="26" s="1"/>
  <c r="S228" i="26"/>
  <c r="T228" i="26" s="1"/>
  <c r="S105" i="26"/>
  <c r="T105" i="26" s="1"/>
  <c r="S95" i="26"/>
  <c r="T95" i="26" s="1"/>
  <c r="S180" i="26"/>
  <c r="T180" i="26" s="1"/>
  <c r="S181" i="26"/>
  <c r="T181" i="26" s="1"/>
  <c r="S118" i="26"/>
  <c r="T118" i="26" s="1"/>
  <c r="S216" i="26"/>
  <c r="T216" i="26" s="1"/>
  <c r="S131" i="26"/>
  <c r="T131" i="26" s="1"/>
  <c r="S116" i="26"/>
  <c r="T116" i="26" s="1"/>
  <c r="S219" i="26"/>
  <c r="T219" i="26" s="1"/>
  <c r="S97" i="26"/>
  <c r="T97" i="26" s="1"/>
  <c r="S196" i="26"/>
  <c r="T196" i="26" s="1"/>
  <c r="S73" i="26"/>
  <c r="T73" i="26" s="1"/>
  <c r="S166" i="26"/>
  <c r="T166" i="26" s="1"/>
  <c r="S206" i="26"/>
  <c r="T206" i="26" s="1"/>
  <c r="S210" i="26"/>
  <c r="T210" i="26" s="1"/>
  <c r="S124" i="26"/>
  <c r="T124" i="26" s="1"/>
  <c r="S205" i="26"/>
  <c r="T205" i="26" s="1"/>
  <c r="S164" i="26"/>
  <c r="T164" i="26" s="1"/>
  <c r="S234" i="26"/>
  <c r="T234" i="26" s="1"/>
  <c r="S134" i="26"/>
  <c r="T134" i="26" s="1"/>
  <c r="S182" i="26"/>
  <c r="T182" i="26" s="1"/>
  <c r="S115" i="26"/>
  <c r="T115" i="26" s="1"/>
  <c r="S209" i="26"/>
  <c r="T209" i="26" s="1"/>
  <c r="S231" i="26"/>
  <c r="T231" i="26" s="1"/>
  <c r="S213" i="26"/>
  <c r="T213" i="26" s="1"/>
  <c r="S121" i="26"/>
  <c r="T121" i="26" s="1"/>
  <c r="S154" i="26"/>
  <c r="T154" i="26" s="1"/>
  <c r="S117" i="26"/>
  <c r="T117" i="26" s="1"/>
  <c r="S130" i="26"/>
  <c r="T130" i="26" s="1"/>
  <c r="Q133" i="26"/>
  <c r="S156" i="26"/>
  <c r="T156" i="26" s="1"/>
  <c r="S126" i="26"/>
  <c r="T126" i="26" s="1"/>
  <c r="S139" i="26"/>
  <c r="T139" i="26" s="1"/>
  <c r="S85" i="26"/>
  <c r="T85" i="26" s="1"/>
  <c r="S173" i="26"/>
  <c r="T173" i="26" s="1"/>
  <c r="S157" i="26"/>
  <c r="T157" i="26" s="1"/>
  <c r="S221" i="26"/>
  <c r="T221" i="26" s="1"/>
  <c r="S153" i="26"/>
  <c r="T153" i="26" s="1"/>
  <c r="Q110" i="26"/>
  <c r="S138" i="26"/>
  <c r="T138" i="26" s="1"/>
  <c r="Q183" i="26"/>
  <c r="S122" i="26"/>
  <c r="T122" i="26" s="1"/>
  <c r="S88" i="26"/>
  <c r="T88" i="26" s="1"/>
  <c r="Q212" i="26"/>
  <c r="S81" i="26"/>
  <c r="T81" i="26" s="1"/>
  <c r="Q84" i="26"/>
  <c r="S143" i="26"/>
  <c r="T143" i="26" s="1"/>
  <c r="Q214" i="26"/>
  <c r="Q220" i="26"/>
  <c r="Q101" i="26"/>
  <c r="D33" i="12"/>
  <c r="Q151" i="26"/>
  <c r="Q111" i="26"/>
  <c r="Q216" i="26"/>
  <c r="Q123" i="26"/>
  <c r="Q200" i="26"/>
  <c r="Q157" i="26"/>
  <c r="Q82" i="26"/>
  <c r="E21" i="12"/>
  <c r="E37" i="12"/>
  <c r="Q152" i="26"/>
  <c r="Q230" i="26"/>
  <c r="E33" i="12"/>
  <c r="D21" i="12"/>
  <c r="Q94" i="26"/>
  <c r="Q93" i="26"/>
  <c r="E27" i="12"/>
  <c r="E35" i="12"/>
  <c r="D28" i="12"/>
  <c r="E34" i="12"/>
  <c r="E23" i="12"/>
  <c r="D24" i="12"/>
  <c r="E24" i="12"/>
  <c r="D37" i="12"/>
  <c r="Q231" i="26"/>
  <c r="Q213" i="26"/>
  <c r="Q199" i="26"/>
  <c r="Q171" i="26"/>
  <c r="Q112" i="26"/>
  <c r="Q172" i="26"/>
  <c r="D27" i="12"/>
  <c r="Q121" i="26"/>
  <c r="Q162" i="26"/>
  <c r="D35" i="12"/>
  <c r="E28" i="12"/>
  <c r="E36" i="12"/>
  <c r="D36" i="12"/>
  <c r="D34" i="12"/>
  <c r="Q126" i="26"/>
  <c r="Q149" i="26"/>
  <c r="Q173" i="26"/>
  <c r="Q114" i="26"/>
  <c r="Q166" i="26"/>
  <c r="Q70" i="26"/>
  <c r="Q177" i="26"/>
  <c r="Q116" i="26"/>
  <c r="Q228" i="26"/>
  <c r="E30" i="12"/>
  <c r="E25" i="12"/>
  <c r="E22" i="12"/>
  <c r="D30" i="12"/>
  <c r="D25" i="12"/>
  <c r="D22" i="12"/>
  <c r="Q178" i="26"/>
  <c r="Q136" i="26"/>
  <c r="D29" i="12"/>
  <c r="Q222" i="26"/>
  <c r="Q87" i="26"/>
  <c r="Q85" i="26"/>
  <c r="E31" i="12"/>
  <c r="Q221" i="26"/>
  <c r="E29" i="12"/>
  <c r="D31" i="12"/>
  <c r="E32" i="12"/>
  <c r="D23" i="12"/>
  <c r="D32" i="12"/>
  <c r="Q186" i="26"/>
  <c r="Q128" i="26"/>
  <c r="Q140" i="26"/>
  <c r="Q168" i="26"/>
  <c r="Q102" i="26"/>
  <c r="Q125" i="26"/>
  <c r="Q80" i="26"/>
  <c r="Q76" i="26"/>
  <c r="Q127" i="26"/>
  <c r="Q77" i="26"/>
  <c r="Q190" i="26"/>
  <c r="Q194" i="26"/>
  <c r="Q188" i="26"/>
  <c r="Q130" i="26"/>
  <c r="Q163" i="26"/>
  <c r="Q74" i="26"/>
  <c r="Q161" i="26"/>
  <c r="Q179" i="26"/>
  <c r="Q120" i="26"/>
  <c r="Q132" i="26"/>
  <c r="Q203" i="26"/>
  <c r="Q104" i="26"/>
  <c r="Q75" i="26"/>
  <c r="Q165" i="26"/>
  <c r="Q180" i="26"/>
  <c r="Q184" i="26"/>
  <c r="Q175" i="26"/>
  <c r="Q106" i="26"/>
  <c r="Q176" i="26"/>
  <c r="Q129" i="26"/>
  <c r="Q174" i="26"/>
  <c r="Q72" i="26"/>
  <c r="Q210" i="26"/>
  <c r="Q124" i="26"/>
  <c r="Q153" i="26"/>
  <c r="Q205" i="26"/>
  <c r="Q164" i="26"/>
  <c r="Q192" i="26"/>
  <c r="Q187" i="26"/>
  <c r="Q158" i="26"/>
  <c r="Q135" i="26"/>
  <c r="Q154" i="26"/>
  <c r="Q113" i="26"/>
  <c r="Q117" i="26"/>
  <c r="Q207" i="26"/>
  <c r="Q99" i="26"/>
  <c r="Q169" i="26"/>
  <c r="Q131" i="26"/>
  <c r="Q103" i="26"/>
  <c r="Q91" i="26"/>
  <c r="Q219" i="26"/>
  <c r="Q96" i="26"/>
  <c r="Q108" i="26"/>
  <c r="Q208" i="26"/>
  <c r="Q189" i="26"/>
  <c r="Q71" i="26"/>
  <c r="Q109" i="26"/>
  <c r="Q229" i="26"/>
  <c r="Q206" i="26"/>
  <c r="Q144" i="26"/>
  <c r="Q195" i="26"/>
  <c r="Q138" i="26"/>
  <c r="Q191" i="26"/>
  <c r="Q234" i="26"/>
  <c r="Q134" i="26"/>
  <c r="Q115" i="26"/>
  <c r="Q145" i="26"/>
  <c r="Q211" i="26"/>
  <c r="Q97" i="26"/>
  <c r="Q185" i="26"/>
  <c r="Q160" i="26"/>
  <c r="Q182" i="26"/>
  <c r="Q122" i="26"/>
  <c r="Q155" i="26"/>
  <c r="Q146" i="26"/>
  <c r="Q81" i="26"/>
  <c r="Q107" i="26"/>
  <c r="Q83" i="26"/>
  <c r="Q156" i="26"/>
  <c r="Q139" i="26"/>
  <c r="Q170" i="26"/>
  <c r="Q196" i="26"/>
  <c r="Q92" i="26"/>
  <c r="Q73" i="26"/>
  <c r="Q88" i="26"/>
  <c r="Q89" i="26"/>
  <c r="Q209" i="26"/>
  <c r="Q167" i="26"/>
  <c r="Q100" i="26"/>
  <c r="Q193" i="26"/>
  <c r="S21" i="26"/>
  <c r="T21" i="26" s="1"/>
  <c r="Q31" i="26"/>
  <c r="Q21" i="26"/>
  <c r="J31" i="12" l="1"/>
  <c r="L31" i="12" s="1"/>
  <c r="J23" i="12"/>
  <c r="L23" i="12" s="1"/>
  <c r="J34" i="12"/>
  <c r="L34" i="12" s="1"/>
  <c r="J28" i="12"/>
  <c r="L28" i="12" s="1"/>
  <c r="R67" i="26"/>
  <c r="J33" i="12"/>
  <c r="L33" i="12" s="1"/>
  <c r="J37" i="12"/>
  <c r="L37" i="12" s="1"/>
  <c r="J29" i="12"/>
  <c r="L29" i="12" s="1"/>
  <c r="J27" i="12"/>
  <c r="L27" i="12" s="1"/>
  <c r="J36" i="12"/>
  <c r="L36" i="12" s="1"/>
  <c r="J24" i="12"/>
  <c r="L24" i="12" s="1"/>
  <c r="J22" i="12"/>
  <c r="L22" i="12" s="1"/>
  <c r="J32" i="12"/>
  <c r="L32" i="12" s="1"/>
  <c r="J25" i="12"/>
  <c r="L25" i="12" s="1"/>
  <c r="J30" i="12"/>
  <c r="L30" i="12" s="1"/>
  <c r="J35" i="12"/>
  <c r="L35" i="12" s="1"/>
  <c r="F22" i="12"/>
  <c r="F36" i="12"/>
  <c r="F34" i="12"/>
  <c r="F35" i="12"/>
  <c r="F30" i="12"/>
  <c r="F29" i="12"/>
  <c r="F28" i="12"/>
  <c r="F33" i="12"/>
  <c r="F31" i="12"/>
  <c r="F21" i="12"/>
  <c r="F24" i="12"/>
  <c r="F32" i="12"/>
  <c r="F23" i="12"/>
  <c r="F27" i="12"/>
  <c r="F37" i="12"/>
  <c r="F25" i="12"/>
  <c r="J21" i="12"/>
  <c r="E26" i="12" l="1"/>
  <c r="D26" i="12"/>
  <c r="J26" i="12" l="1"/>
  <c r="L26" i="12" s="1"/>
  <c r="F26" i="12"/>
  <c r="U18" i="26"/>
  <c r="K21" i="12"/>
  <c r="K36" i="26" l="1"/>
  <c r="K54" i="26"/>
  <c r="L54" i="26" s="1"/>
  <c r="N54" i="26" s="1"/>
  <c r="K43" i="26"/>
  <c r="L43" i="26" s="1"/>
  <c r="N43" i="26" s="1"/>
  <c r="K39" i="26"/>
  <c r="L39" i="26" s="1"/>
  <c r="N39" i="26" s="1"/>
  <c r="K65" i="26"/>
  <c r="K34" i="26"/>
  <c r="K55" i="26"/>
  <c r="K44" i="26"/>
  <c r="K27" i="26"/>
  <c r="K35" i="26"/>
  <c r="L21" i="12"/>
  <c r="S54" i="26" l="1"/>
  <c r="T54" i="26" s="1"/>
  <c r="Q54" i="26"/>
  <c r="S39" i="26"/>
  <c r="T39" i="26" s="1"/>
  <c r="Q39" i="26"/>
  <c r="S43" i="26"/>
  <c r="T43" i="26" s="1"/>
  <c r="Q43" i="26"/>
  <c r="P237" i="26"/>
  <c r="P238" i="26" l="1"/>
  <c r="Q238" i="26" s="1"/>
  <c r="R238" i="26" s="1"/>
  <c r="E5" i="26"/>
  <c r="P239" i="26"/>
  <c r="Q239" i="26" s="1"/>
  <c r="R239" i="26" s="1"/>
  <c r="E6" i="26"/>
  <c r="P241" i="26" l="1"/>
  <c r="P242" i="26" l="1"/>
  <c r="L36" i="26" l="1"/>
  <c r="N36" i="26" s="1"/>
  <c r="S36" i="26" s="1"/>
  <c r="T36" i="26" s="1"/>
  <c r="L44" i="26"/>
  <c r="N44" i="26" s="1"/>
  <c r="S44" i="26" s="1"/>
  <c r="T44" i="26" s="1"/>
  <c r="L35" i="26"/>
  <c r="N35" i="26" s="1"/>
  <c r="S35" i="26" s="1"/>
  <c r="T35" i="26" s="1"/>
  <c r="L27" i="26"/>
  <c r="L34" i="26"/>
  <c r="N34" i="26" s="1"/>
  <c r="S34" i="26" s="1"/>
  <c r="T34" i="26" s="1"/>
  <c r="L55" i="26"/>
  <c r="N55" i="26" s="1"/>
  <c r="S55" i="26" s="1"/>
  <c r="T55" i="26" s="1"/>
  <c r="L65" i="26"/>
  <c r="N65" i="26" s="1"/>
  <c r="S65" i="26" s="1"/>
  <c r="T65" i="26" s="1"/>
  <c r="N27" i="26" l="1"/>
  <c r="S27" i="26" s="1"/>
  <c r="T27" i="26" s="1"/>
  <c r="L237" i="26"/>
  <c r="Q65" i="26"/>
  <c r="Q44" i="26"/>
  <c r="Q35" i="26"/>
  <c r="Q55" i="26"/>
  <c r="Q34" i="26"/>
  <c r="Q36" i="26"/>
  <c r="D20" i="12" l="1"/>
  <c r="N237" i="26"/>
  <c r="Q27" i="26"/>
  <c r="F20" i="12" l="1"/>
  <c r="F38" i="12" s="1"/>
  <c r="R18" i="26"/>
  <c r="Q237" i="26"/>
  <c r="E38" i="12"/>
  <c r="J20" i="12"/>
  <c r="D38" i="12"/>
  <c r="E7" i="26"/>
  <c r="N240" i="26"/>
  <c r="T237" i="26"/>
  <c r="T242" i="26" s="1"/>
  <c r="G26" i="12" l="1"/>
  <c r="G31" i="12"/>
  <c r="G23" i="12"/>
  <c r="G22" i="12"/>
  <c r="G21" i="12"/>
  <c r="G25" i="12"/>
  <c r="G24" i="12"/>
  <c r="G35" i="12"/>
  <c r="G33" i="12"/>
  <c r="G30" i="12"/>
  <c r="G29" i="12"/>
  <c r="G37" i="12"/>
  <c r="G36" i="12"/>
  <c r="G34" i="12"/>
  <c r="G28" i="12"/>
  <c r="G32" i="12"/>
  <c r="G27" i="12"/>
  <c r="G20" i="12"/>
  <c r="E4" i="26"/>
  <c r="E8" i="26" s="1"/>
  <c r="C5" i="31"/>
  <c r="E40" i="12"/>
  <c r="E39" i="12"/>
  <c r="D41" i="12"/>
  <c r="C9" i="31" s="1"/>
  <c r="C6" i="31"/>
  <c r="Q240" i="26"/>
  <c r="R240" i="26" s="1"/>
  <c r="N241" i="26"/>
  <c r="Q241" i="26" s="1"/>
  <c r="J38" i="12"/>
  <c r="K20" i="12"/>
  <c r="F39" i="12" l="1"/>
  <c r="C7" i="31"/>
  <c r="F7" i="31" s="1"/>
  <c r="C8" i="31"/>
  <c r="F8" i="31" s="1"/>
  <c r="F40" i="12"/>
  <c r="F41" i="12"/>
  <c r="Q242" i="26"/>
  <c r="F9" i="31"/>
  <c r="R241" i="26"/>
  <c r="N242" i="26"/>
  <c r="E9" i="26"/>
  <c r="K38" i="12"/>
  <c r="L20" i="12"/>
  <c r="R237" i="26" l="1"/>
  <c r="R242" i="26" s="1"/>
  <c r="D75" i="12"/>
  <c r="F50" i="12"/>
  <c r="G50" i="12" s="1"/>
  <c r="E50" i="12"/>
  <c r="F42" i="12"/>
  <c r="E55" i="12"/>
  <c r="D72" i="12"/>
  <c r="F72" i="12"/>
  <c r="G72" i="12" s="1"/>
  <c r="F69" i="12"/>
  <c r="G69" i="12" s="1"/>
  <c r="E82" i="12"/>
  <c r="F54" i="12"/>
  <c r="G54" i="12" s="1"/>
  <c r="D56" i="12"/>
  <c r="E77" i="12"/>
  <c r="E53" i="12"/>
  <c r="E73" i="12"/>
  <c r="F55" i="12"/>
  <c r="G55" i="12" s="1"/>
  <c r="E70" i="12"/>
  <c r="E54" i="12"/>
  <c r="D74" i="12"/>
  <c r="D71" i="12"/>
  <c r="F63" i="12"/>
  <c r="G63" i="12" s="1"/>
  <c r="E52" i="12"/>
  <c r="E74" i="12"/>
  <c r="D52" i="12"/>
  <c r="D79" i="12"/>
  <c r="F76" i="12"/>
  <c r="G76" i="12" s="1"/>
  <c r="F71" i="12"/>
  <c r="G71" i="12" s="1"/>
  <c r="D70" i="12"/>
  <c r="D65" i="12"/>
  <c r="E64" i="12"/>
  <c r="D60" i="12"/>
  <c r="D80" i="12"/>
  <c r="E81" i="12"/>
  <c r="E78" i="12"/>
  <c r="E69" i="12"/>
  <c r="D66" i="12"/>
  <c r="E61" i="12"/>
  <c r="F57" i="12"/>
  <c r="G57" i="12" s="1"/>
  <c r="D83" i="12"/>
  <c r="D78" i="12"/>
  <c r="E66" i="12"/>
  <c r="F65" i="12"/>
  <c r="G65" i="12" s="1"/>
  <c r="F62" i="12"/>
  <c r="G62" i="12" s="1"/>
  <c r="D58" i="12"/>
  <c r="D53" i="12"/>
  <c r="F83" i="12"/>
  <c r="G83" i="12" s="1"/>
  <c r="D81" i="12"/>
  <c r="E72" i="12"/>
  <c r="D68" i="12"/>
  <c r="F73" i="12"/>
  <c r="G73" i="12" s="1"/>
  <c r="E71" i="12"/>
  <c r="D64" i="12"/>
  <c r="F64" i="12"/>
  <c r="G64" i="12" s="1"/>
  <c r="E62" i="12"/>
  <c r="E60" i="12"/>
  <c r="F79" i="12"/>
  <c r="G79" i="12" s="1"/>
  <c r="F75" i="12"/>
  <c r="G75" i="12" s="1"/>
  <c r="D76" i="12"/>
  <c r="D61" i="12"/>
  <c r="F59" i="12"/>
  <c r="G59" i="12" s="1"/>
  <c r="D54" i="12"/>
  <c r="E79" i="12"/>
  <c r="D77" i="12"/>
  <c r="F77" i="12"/>
  <c r="G77" i="12" s="1"/>
  <c r="E75" i="12"/>
  <c r="F52" i="12"/>
  <c r="G52" i="12" s="1"/>
  <c r="E76" i="12"/>
  <c r="D82" i="12"/>
  <c r="F60" i="12"/>
  <c r="G60" i="12" s="1"/>
  <c r="F81" i="12"/>
  <c r="G81" i="12" s="1"/>
  <c r="F58" i="12"/>
  <c r="G58" i="12" s="1"/>
  <c r="E56" i="12"/>
  <c r="E67" i="12"/>
  <c r="F67" i="12"/>
  <c r="G67" i="12" s="1"/>
  <c r="D63" i="12"/>
  <c r="E63" i="12"/>
  <c r="E58" i="12"/>
  <c r="D67" i="12"/>
  <c r="E59" i="12"/>
  <c r="F74" i="12"/>
  <c r="G74" i="12" s="1"/>
  <c r="E80" i="12"/>
  <c r="F56" i="12"/>
  <c r="G56" i="12" s="1"/>
  <c r="F53" i="12"/>
  <c r="G53" i="12" s="1"/>
  <c r="D59" i="12"/>
  <c r="F78" i="12"/>
  <c r="G78" i="12" s="1"/>
  <c r="D55" i="12"/>
  <c r="J55" i="12" s="1"/>
  <c r="L55" i="12" s="1"/>
  <c r="F70" i="12"/>
  <c r="G70" i="12" s="1"/>
  <c r="E57" i="12"/>
  <c r="D57" i="12"/>
  <c r="D73" i="12"/>
  <c r="F80" i="12"/>
  <c r="G80" i="12" s="1"/>
  <c r="F68" i="12"/>
  <c r="G68" i="12" s="1"/>
  <c r="D69" i="12"/>
  <c r="F61" i="12"/>
  <c r="G61" i="12" s="1"/>
  <c r="D62" i="12"/>
  <c r="F82" i="12"/>
  <c r="G82" i="12" s="1"/>
  <c r="E83" i="12"/>
  <c r="E65" i="12"/>
  <c r="E68" i="12"/>
  <c r="F66" i="12"/>
  <c r="G66" i="12" s="1"/>
  <c r="L38" i="12"/>
  <c r="D10" i="12"/>
  <c r="L6" i="12" s="1"/>
  <c r="E51" i="12"/>
  <c r="D50" i="12"/>
  <c r="D51" i="12"/>
  <c r="F51" i="12"/>
  <c r="G51" i="12" s="1"/>
  <c r="C10" i="31" l="1"/>
  <c r="C11" i="31" s="1"/>
  <c r="D7" i="31" s="1"/>
  <c r="J75" i="12"/>
  <c r="L75" i="12" s="1"/>
  <c r="F43" i="12"/>
  <c r="J74" i="12"/>
  <c r="L74" i="12" s="1"/>
  <c r="J56" i="12"/>
  <c r="L56" i="12" s="1"/>
  <c r="J72" i="12"/>
  <c r="L72" i="12" s="1"/>
  <c r="J71" i="12"/>
  <c r="L71" i="12" s="1"/>
  <c r="J73" i="12"/>
  <c r="L73" i="12" s="1"/>
  <c r="J82" i="12"/>
  <c r="L82" i="12" s="1"/>
  <c r="J64" i="12"/>
  <c r="L64" i="12" s="1"/>
  <c r="J77" i="12"/>
  <c r="L77" i="12" s="1"/>
  <c r="J62" i="12"/>
  <c r="L62" i="12" s="1"/>
  <c r="J61" i="12"/>
  <c r="L61" i="12" s="1"/>
  <c r="J81" i="12"/>
  <c r="L81" i="12" s="1"/>
  <c r="J70" i="12"/>
  <c r="L70" i="12" s="1"/>
  <c r="J52" i="12"/>
  <c r="L52" i="12" s="1"/>
  <c r="J63" i="12"/>
  <c r="L63" i="12" s="1"/>
  <c r="J78" i="12"/>
  <c r="L78" i="12" s="1"/>
  <c r="J67" i="12"/>
  <c r="L67" i="12" s="1"/>
  <c r="J83" i="12"/>
  <c r="L83" i="12" s="1"/>
  <c r="J53" i="12"/>
  <c r="L53" i="12" s="1"/>
  <c r="J59" i="12"/>
  <c r="L59" i="12" s="1"/>
  <c r="J54" i="12"/>
  <c r="L54" i="12" s="1"/>
  <c r="J68" i="12"/>
  <c r="L68" i="12" s="1"/>
  <c r="J58" i="12"/>
  <c r="L58" i="12" s="1"/>
  <c r="J65" i="12"/>
  <c r="L65" i="12" s="1"/>
  <c r="J69" i="12"/>
  <c r="L69" i="12" s="1"/>
  <c r="J79" i="12"/>
  <c r="L79" i="12" s="1"/>
  <c r="J57" i="12"/>
  <c r="L57" i="12" s="1"/>
  <c r="J76" i="12"/>
  <c r="L76" i="12" s="1"/>
  <c r="J66" i="12"/>
  <c r="L66" i="12" s="1"/>
  <c r="J80" i="12"/>
  <c r="L80" i="12" s="1"/>
  <c r="J60" i="12"/>
  <c r="L60" i="12" s="1"/>
  <c r="J51" i="12"/>
  <c r="J50" i="12"/>
  <c r="K51" i="12"/>
  <c r="E84" i="12"/>
  <c r="D84" i="12"/>
  <c r="F84" i="12"/>
  <c r="D10" i="31" l="1"/>
  <c r="D6" i="31"/>
  <c r="D5" i="31"/>
  <c r="D8" i="31"/>
  <c r="D9" i="31"/>
  <c r="F10" i="31"/>
  <c r="G38" i="12"/>
  <c r="D87" i="12"/>
  <c r="F87" i="12" s="1"/>
  <c r="E86" i="12"/>
  <c r="F86" i="12" s="1"/>
  <c r="E85" i="12"/>
  <c r="F85" i="12" s="1"/>
  <c r="G84" i="12"/>
  <c r="L51" i="12"/>
  <c r="K50" i="12"/>
  <c r="J84" i="12"/>
  <c r="F88" i="12" l="1"/>
  <c r="F89" i="12" s="1"/>
  <c r="K84" i="12"/>
  <c r="L50" i="12"/>
  <c r="L84" i="12" l="1"/>
</calcChain>
</file>

<file path=xl/sharedStrings.xml><?xml version="1.0" encoding="utf-8"?>
<sst xmlns="http://schemas.openxmlformats.org/spreadsheetml/2006/main" count="2693" uniqueCount="926">
  <si>
    <t>Project Dashboard</t>
  </si>
  <si>
    <t xml:space="preserve">      </t>
  </si>
  <si>
    <t xml:space="preserve">            Contentration of Sub-Contractor Cost</t>
  </si>
  <si>
    <t>Pie Chart:</t>
  </si>
  <si>
    <t>Type</t>
  </si>
  <si>
    <t>Amount</t>
  </si>
  <si>
    <t>Material</t>
  </si>
  <si>
    <t>Labor</t>
  </si>
  <si>
    <t>Percentage</t>
  </si>
  <si>
    <t>Material Tax</t>
  </si>
  <si>
    <t>Overhead &amp; Profit (Material)</t>
  </si>
  <si>
    <t>Overhead &amp; Profit (Labor)</t>
  </si>
  <si>
    <t>Bond Fee</t>
  </si>
  <si>
    <t>OH &amp; P on subnotes</t>
  </si>
  <si>
    <t>COST SUMMARY</t>
  </si>
  <si>
    <t>Date:</t>
  </si>
  <si>
    <t xml:space="preserve">Project Type: </t>
  </si>
  <si>
    <t>Project:</t>
  </si>
  <si>
    <t>Scope of Work:</t>
  </si>
  <si>
    <t>Project Location:</t>
  </si>
  <si>
    <t>Total Base Bid:</t>
  </si>
  <si>
    <t>BASE BID
/ALTERNATES/ALLOWANCES</t>
  </si>
  <si>
    <t>TOTAL
COSTS</t>
  </si>
  <si>
    <t>Please enter the sub-quotes in column R (Highlighted orange) against each division/trade and update the Overhead &amp; Profit % as required below; column K will be updated automatically with Subquotes with OH&amp;P. If there is no value entered in column R, the cost from column J (by DE) will be picked.</t>
  </si>
  <si>
    <t xml:space="preserve">Base Bid </t>
  </si>
  <si>
    <t>Hourly Rates Tab</t>
  </si>
  <si>
    <t>OH&amp;P on Subquotes</t>
  </si>
  <si>
    <r>
      <t>Note:</t>
    </r>
    <r>
      <rPr>
        <b/>
        <sz val="20"/>
        <rFont val="Calibri"/>
        <family val="2"/>
        <scheme val="minor"/>
      </rPr>
      <t xml:space="preserve"> Click on any of the above text to go to the relevant Tab</t>
    </r>
  </si>
  <si>
    <t>For Client's Use Only</t>
  </si>
  <si>
    <t>CSI Summary for Base Bid</t>
  </si>
  <si>
    <t>Comparison with Sub-Quotes</t>
  </si>
  <si>
    <t xml:space="preserve">Enter the numbers manually </t>
  </si>
  <si>
    <t>Enter Subquotes below</t>
  </si>
  <si>
    <t>Div. No.</t>
  </si>
  <si>
    <t>CSI Division</t>
  </si>
  <si>
    <t>Labor Cost</t>
  </si>
  <si>
    <t>Material Cost</t>
  </si>
  <si>
    <t>Total Cost</t>
  </si>
  <si>
    <t>% of sub-total cost</t>
  </si>
  <si>
    <t>Division Cost with OH&amp;P &amp; Material Tax</t>
  </si>
  <si>
    <t>Sub-Quotes w/ OH&amp;P</t>
  </si>
  <si>
    <t>Difference</t>
  </si>
  <si>
    <t>Finalized Bid amount by GC</t>
  </si>
  <si>
    <t>Remarks</t>
  </si>
  <si>
    <t>DIV-01</t>
  </si>
  <si>
    <t>General Requirements</t>
  </si>
  <si>
    <t>DIV-02</t>
  </si>
  <si>
    <t>DIV-03</t>
  </si>
  <si>
    <t>Concrete</t>
  </si>
  <si>
    <t>DIV-04</t>
  </si>
  <si>
    <t>DIV-05</t>
  </si>
  <si>
    <t>DIV-06</t>
  </si>
  <si>
    <t>Wood, Plastics &amp; Composites</t>
  </si>
  <si>
    <t>DIV-07</t>
  </si>
  <si>
    <t>Thermal &amp; Moisture Protection</t>
  </si>
  <si>
    <t>DIV-08</t>
  </si>
  <si>
    <t>Openings</t>
  </si>
  <si>
    <t>DIV-09</t>
  </si>
  <si>
    <t>Finishes</t>
  </si>
  <si>
    <t>DIV-10</t>
  </si>
  <si>
    <t>DIV-11</t>
  </si>
  <si>
    <t>Equipment</t>
  </si>
  <si>
    <t>DIV-12</t>
  </si>
  <si>
    <t>DIV-13</t>
  </si>
  <si>
    <t>Special Construction</t>
  </si>
  <si>
    <t>DIV-14</t>
  </si>
  <si>
    <t>DIV-21</t>
  </si>
  <si>
    <t>Fire Suppression</t>
  </si>
  <si>
    <t>DIV-22</t>
  </si>
  <si>
    <t>DIV-23</t>
  </si>
  <si>
    <t>DIV-26</t>
  </si>
  <si>
    <t>Electrical</t>
  </si>
  <si>
    <t>DIV-27</t>
  </si>
  <si>
    <t>DIV-31</t>
  </si>
  <si>
    <t>DIV-32</t>
  </si>
  <si>
    <t>DIV-33</t>
  </si>
  <si>
    <t>Utilities</t>
  </si>
  <si>
    <t>SUB TOTAL</t>
  </si>
  <si>
    <t>MATERIAL TAX</t>
  </si>
  <si>
    <r>
      <t>OVERHEAD &amp; PROFIT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</si>
  <si>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 xml:space="preserve">OVERHEAD &amp; PROFIT </t>
    </r>
    <r>
      <rPr>
        <b/>
        <sz val="12"/>
        <color rgb="FFFF0000"/>
        <rFont val="Calibri"/>
        <family val="2"/>
        <scheme val="minor"/>
      </rPr>
      <t>(Labor)</t>
    </r>
  </si>
  <si>
    <t>TOTAL BASE BID</t>
  </si>
  <si>
    <t>Sub-Contractor/Trade Summary for Base Bid</t>
  </si>
  <si>
    <t>Sub Contractor</t>
  </si>
  <si>
    <t>Sub Contractor Cost with OH&amp;P &amp; Material Tax</t>
  </si>
  <si>
    <t>Accessories</t>
  </si>
  <si>
    <t>Acoustical and Metal Ceiling</t>
  </si>
  <si>
    <t>Appliances</t>
  </si>
  <si>
    <t>Asbestos Worker</t>
  </si>
  <si>
    <t>Awnings / Canopies</t>
  </si>
  <si>
    <t>Cabinetry</t>
  </si>
  <si>
    <t>Carpenter Millwork</t>
  </si>
  <si>
    <t>Ceiling - Others</t>
  </si>
  <si>
    <t>Cladding - Metal</t>
  </si>
  <si>
    <t>Cladding - Wood</t>
  </si>
  <si>
    <t>Cladding - Other</t>
  </si>
  <si>
    <t>Clean - Power Wash</t>
  </si>
  <si>
    <t>Clearing &amp; Grubbing</t>
  </si>
  <si>
    <t>Communication</t>
  </si>
  <si>
    <t>Concrete - Building</t>
  </si>
  <si>
    <t>Countertops</t>
  </si>
  <si>
    <t>Curtain Wall</t>
  </si>
  <si>
    <t>Demo - Building</t>
  </si>
  <si>
    <t>Demo - Site</t>
  </si>
  <si>
    <t>Dewatering</t>
  </si>
  <si>
    <t>Doors &amp; Hardware</t>
  </si>
  <si>
    <t>Dry Waller</t>
  </si>
  <si>
    <t>Earth worker</t>
  </si>
  <si>
    <t>Electrician</t>
  </si>
  <si>
    <t>Electronic Safety and Security (FA)</t>
  </si>
  <si>
    <t>Elevator</t>
  </si>
  <si>
    <t>Erosion Control</t>
  </si>
  <si>
    <t>Exterior  improvements</t>
  </si>
  <si>
    <t>Exterior Painter</t>
  </si>
  <si>
    <t>Exterior Signage</t>
  </si>
  <si>
    <t>Fencing and Gates - Metal</t>
  </si>
  <si>
    <t>Fencing and Gates - Wood</t>
  </si>
  <si>
    <t>Fencing and Gates - Other</t>
  </si>
  <si>
    <t>Finish Carpenter</t>
  </si>
  <si>
    <t>Fire Proofing</t>
  </si>
  <si>
    <t>Fireplace</t>
  </si>
  <si>
    <t>Flooring</t>
  </si>
  <si>
    <t>Folding/Moveable Partition</t>
  </si>
  <si>
    <t>Framer Cold Form</t>
  </si>
  <si>
    <t>Framer Light Gauge</t>
  </si>
  <si>
    <t>Framer Lumber</t>
  </si>
  <si>
    <t>Framer Rough Carpenter</t>
  </si>
  <si>
    <t>Furniture</t>
  </si>
  <si>
    <t>Glazier</t>
  </si>
  <si>
    <t>Hazardous Material Handler</t>
  </si>
  <si>
    <t>Insulation</t>
  </si>
  <si>
    <t>Interior Painter</t>
  </si>
  <si>
    <t>Interior Signage</t>
  </si>
  <si>
    <t>Irrigation</t>
  </si>
  <si>
    <t>Joint Sealants</t>
  </si>
  <si>
    <t>Landscaper</t>
  </si>
  <si>
    <t>Mailboxes</t>
  </si>
  <si>
    <t>Mason - Brick Veneer</t>
  </si>
  <si>
    <t>Mason - Cast Stone</t>
  </si>
  <si>
    <t>Mason - CMU</t>
  </si>
  <si>
    <t>Mechanical</t>
  </si>
  <si>
    <t>Millwork</t>
  </si>
  <si>
    <t>Ornamental Steel</t>
  </si>
  <si>
    <t>Paneling - Metal</t>
  </si>
  <si>
    <t>Paneling - Wood</t>
  </si>
  <si>
    <t>Paneling - Other</t>
  </si>
  <si>
    <t>Paving</t>
  </si>
  <si>
    <t>Pergolas</t>
  </si>
  <si>
    <t>Piling</t>
  </si>
  <si>
    <t>Playground Equipment</t>
  </si>
  <si>
    <t>Plumber</t>
  </si>
  <si>
    <t>Pool</t>
  </si>
  <si>
    <t>Precast Concrete</t>
  </si>
  <si>
    <t>Pre-Engineered Metal Building</t>
  </si>
  <si>
    <t>Roof Sheathing</t>
  </si>
  <si>
    <t>Roofer</t>
  </si>
  <si>
    <t>Sheathing</t>
  </si>
  <si>
    <t>Shoring/SOE</t>
  </si>
  <si>
    <t>Siding Contractor</t>
  </si>
  <si>
    <t>Site Concrete</t>
  </si>
  <si>
    <t>Site Electrical</t>
  </si>
  <si>
    <t>Site Furnishing</t>
  </si>
  <si>
    <t>Site Paint</t>
  </si>
  <si>
    <t>Site Signage</t>
  </si>
  <si>
    <t>Skylight</t>
  </si>
  <si>
    <t>Staircases and Railings - Metal</t>
  </si>
  <si>
    <t>Staircases and Railings - Wood</t>
  </si>
  <si>
    <t>Storefront</t>
  </si>
  <si>
    <t>Structural Steel</t>
  </si>
  <si>
    <t>Stucco - EIFS</t>
  </si>
  <si>
    <t>Tiler</t>
  </si>
  <si>
    <t xml:space="preserve">Toilet Partitions </t>
  </si>
  <si>
    <t>Traffic Control</t>
  </si>
  <si>
    <t>Trellis</t>
  </si>
  <si>
    <t>Truss</t>
  </si>
  <si>
    <t>Wall Covering</t>
  </si>
  <si>
    <t>Water Proofing &amp; Damp Proofing</t>
  </si>
  <si>
    <t>Window Installer</t>
  </si>
  <si>
    <t>Wire Shelving</t>
  </si>
  <si>
    <t>ITEM #</t>
  </si>
  <si>
    <t>REF. SHEET</t>
  </si>
  <si>
    <t>DETAIL</t>
  </si>
  <si>
    <t>CSI SECT</t>
  </si>
  <si>
    <t>DESCRIPTION</t>
  </si>
  <si>
    <t>QTY.</t>
  </si>
  <si>
    <t>WASTAGE</t>
  </si>
  <si>
    <t>QTY WITH
WASTAGE</t>
  </si>
  <si>
    <t>UNIT</t>
  </si>
  <si>
    <t>UNIT LABOR HOURS</t>
  </si>
  <si>
    <t>TOTAL LABOR HOURS</t>
  </si>
  <si>
    <t>PER HOUR LABOR RATE</t>
  </si>
  <si>
    <t>TOTAL LABOR COST</t>
  </si>
  <si>
    <t>UNIT MATERIAL COST</t>
  </si>
  <si>
    <t>TOTAL MATERIAL COST</t>
  </si>
  <si>
    <t>ITEM COST</t>
  </si>
  <si>
    <t>TRADE COST</t>
  </si>
  <si>
    <t>UNIT ITEM COST WITH MARKUPS</t>
  </si>
  <si>
    <t>TOTAL ITEM COST WITH MARKUPS</t>
  </si>
  <si>
    <t>Estimate of Materials Quantities and Cost of Construction</t>
  </si>
  <si>
    <t>CLICK HERE TO GO BACK TO COST SUMMARY</t>
  </si>
  <si>
    <t xml:space="preserve">Sub-Total    </t>
  </si>
  <si>
    <t>Material Sales Tax</t>
  </si>
  <si>
    <t>(Adjust the percentage for Material tax as required)</t>
  </si>
  <si>
    <r>
      <t xml:space="preserve">Overhead &amp; Profit / Inflation </t>
    </r>
    <r>
      <rPr>
        <b/>
        <sz val="13"/>
        <color rgb="FFFF0000"/>
        <rFont val="Calibri"/>
        <family val="2"/>
        <scheme val="minor"/>
      </rPr>
      <t>(Material)</t>
    </r>
  </si>
  <si>
    <t>(Adjust the percentage for Overhead &amp; Profit as required)</t>
  </si>
  <si>
    <r>
      <t xml:space="preserve">Overhead &amp; Profit </t>
    </r>
    <r>
      <rPr>
        <b/>
        <sz val="13"/>
        <color rgb="FFFF0000"/>
        <rFont val="Calibri"/>
        <family val="2"/>
        <scheme val="minor"/>
      </rPr>
      <t>(Labor)</t>
    </r>
  </si>
  <si>
    <t>Project and Wage Type:</t>
  </si>
  <si>
    <t>(Adjust the percentage for Bond Fee as required)</t>
  </si>
  <si>
    <t>Total Bid</t>
  </si>
  <si>
    <t>Gross Internal Area of Structure (SF)</t>
  </si>
  <si>
    <t>Covered Area of Structure (SF)</t>
  </si>
  <si>
    <t>Material Wastage 1</t>
  </si>
  <si>
    <t xml:space="preserve"> ( for Quantities in Each &amp; LS)</t>
  </si>
  <si>
    <t>No. of Units</t>
  </si>
  <si>
    <t>Material Wastage 2</t>
  </si>
  <si>
    <t xml:space="preserve"> ( for Quantities in LF, SF, SY, CY, LBS, TONS)</t>
  </si>
  <si>
    <t>No. of Floors and Overall Height</t>
  </si>
  <si>
    <t xml:space="preserve">                                  (Changing the wastage percentage here will update the wastage for whole tab)</t>
  </si>
  <si>
    <t>Hardscaping Area (SF)</t>
  </si>
  <si>
    <t>Soft scaping Area (SF)</t>
  </si>
  <si>
    <t>To change hourly rates for any trade please go to "Hourly Rates" Tab</t>
  </si>
  <si>
    <t>UNIT COST WITH MARKUPS</t>
  </si>
  <si>
    <t>TOTAL COST WITH MARKUPS</t>
  </si>
  <si>
    <t>General</t>
  </si>
  <si>
    <t>LS</t>
  </si>
  <si>
    <t>Surveying</t>
  </si>
  <si>
    <t>Concrete Testing</t>
  </si>
  <si>
    <t>Permit Fee</t>
  </si>
  <si>
    <t>Plan Coordination</t>
  </si>
  <si>
    <t>Roof Inspection</t>
  </si>
  <si>
    <t>Tool Rentals</t>
  </si>
  <si>
    <t>Tool Shed</t>
  </si>
  <si>
    <t>Dust Control</t>
  </si>
  <si>
    <t>Ice, Water, Beverages</t>
  </si>
  <si>
    <t>Garbage Dumpster / Trash Containers</t>
  </si>
  <si>
    <t>Mobilization/Demobilization (Temporary Control &amp; Facilities)</t>
  </si>
  <si>
    <t>Job Signs</t>
  </si>
  <si>
    <t>Job Photos</t>
  </si>
  <si>
    <t xml:space="preserve">Signage  </t>
  </si>
  <si>
    <t>Misc.</t>
  </si>
  <si>
    <t>Trash</t>
  </si>
  <si>
    <t>Final Cleaning</t>
  </si>
  <si>
    <t>Punch List Items</t>
  </si>
  <si>
    <t>Bonds, Insurance, Legal</t>
  </si>
  <si>
    <t>Casualty Insurance</t>
  </si>
  <si>
    <t>Medical Insurance</t>
  </si>
  <si>
    <t>General Liability Insurance</t>
  </si>
  <si>
    <t>Project Management &amp; Supervision</t>
  </si>
  <si>
    <t/>
  </si>
  <si>
    <t>SF</t>
  </si>
  <si>
    <t>LF</t>
  </si>
  <si>
    <t>EA</t>
  </si>
  <si>
    <t>CY</t>
  </si>
  <si>
    <t>LBS</t>
  </si>
  <si>
    <t>TONS</t>
  </si>
  <si>
    <t>Total Lab. Hours =</t>
  </si>
  <si>
    <t>Total Lab. Cost =</t>
  </si>
  <si>
    <t>Total Mat. Cost =</t>
  </si>
  <si>
    <r>
      <t>OVERHEAD &amp; PROF</t>
    </r>
    <r>
      <rPr>
        <b/>
        <sz val="12"/>
        <rFont val="Calibri"/>
        <family val="2"/>
        <scheme val="minor"/>
      </rPr>
      <t>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</si>
  <si>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>OVERHEAD &amp; PROFIT</t>
    </r>
    <r>
      <rPr>
        <b/>
        <sz val="12"/>
        <color rgb="FFFF0000"/>
        <rFont val="Calibri"/>
        <family val="2"/>
        <scheme val="minor"/>
      </rPr>
      <t xml:space="preserve"> (Labor)</t>
    </r>
  </si>
  <si>
    <t>BOND FEE</t>
  </si>
  <si>
    <r>
      <rPr>
        <b/>
        <sz val="12"/>
        <color rgb="FFFF0000"/>
        <rFont val="Calibri"/>
        <family val="2"/>
        <scheme val="minor"/>
      </rPr>
      <t>Note:</t>
    </r>
    <r>
      <rPr>
        <b/>
        <sz val="12"/>
        <color theme="0" tint="-0.499984740745262"/>
        <rFont val="Calibri"/>
        <family val="2"/>
        <scheme val="minor"/>
      </rPr>
      <t xml:space="preserve"> Adjusting the per hour labor rate in the table below will automatically update the labor pricing for whole project. To bypass the per hour labor rate for a single item, please put the per hour labor rate against that item in column M of relative tab.</t>
    </r>
  </si>
  <si>
    <t>Please don’t edit anything below, without the approval of the Manager (Estimating Department)</t>
  </si>
  <si>
    <t>CSI Div.</t>
  </si>
  <si>
    <t>Sub-Contractor/Trade List</t>
  </si>
  <si>
    <t>Hourly Rates</t>
  </si>
  <si>
    <t>DIV-1</t>
  </si>
  <si>
    <t>Div-28</t>
  </si>
  <si>
    <t>DIV-34</t>
  </si>
  <si>
    <t>DIV-00</t>
  </si>
  <si>
    <t>Z</t>
  </si>
  <si>
    <t>Unit</t>
  </si>
  <si>
    <t>Wastage</t>
  </si>
  <si>
    <t>SY</t>
  </si>
  <si>
    <t>Categories</t>
  </si>
  <si>
    <t>Commercial</t>
  </si>
  <si>
    <t>Residential</t>
  </si>
  <si>
    <t>Code</t>
  </si>
  <si>
    <t>Default1</t>
  </si>
  <si>
    <t>Default2</t>
  </si>
  <si>
    <t>Default3</t>
  </si>
  <si>
    <t>Default4</t>
  </si>
  <si>
    <t>Default5</t>
  </si>
  <si>
    <t>Default6</t>
  </si>
  <si>
    <t>Default7</t>
  </si>
  <si>
    <t>Default8</t>
  </si>
  <si>
    <t>Default9</t>
  </si>
  <si>
    <t>Default10</t>
  </si>
  <si>
    <t>Default11</t>
  </si>
  <si>
    <t>Default12</t>
  </si>
  <si>
    <t>Default13</t>
  </si>
  <si>
    <t>Default14</t>
  </si>
  <si>
    <t>Default15</t>
  </si>
  <si>
    <t>Default16</t>
  </si>
  <si>
    <t>Default17</t>
  </si>
  <si>
    <t>Default18</t>
  </si>
  <si>
    <t>Default19</t>
  </si>
  <si>
    <t>Default20</t>
  </si>
  <si>
    <t>Default21</t>
  </si>
  <si>
    <t>Default22</t>
  </si>
  <si>
    <t>Default23</t>
  </si>
  <si>
    <t>Default24</t>
  </si>
  <si>
    <t>Default25</t>
  </si>
  <si>
    <t>Default26</t>
  </si>
  <si>
    <t>Default27</t>
  </si>
  <si>
    <t>Default28</t>
  </si>
  <si>
    <t>Default29</t>
  </si>
  <si>
    <t>Default30</t>
  </si>
  <si>
    <t>Default31</t>
  </si>
  <si>
    <t>Default32</t>
  </si>
  <si>
    <t>Default33</t>
  </si>
  <si>
    <t>Default34</t>
  </si>
  <si>
    <t>Default35</t>
  </si>
  <si>
    <t>Default36</t>
  </si>
  <si>
    <t>Default37</t>
  </si>
  <si>
    <t>Default38</t>
  </si>
  <si>
    <t>Default39</t>
  </si>
  <si>
    <t>Default40</t>
  </si>
  <si>
    <t>Default41</t>
  </si>
  <si>
    <t>Default42</t>
  </si>
  <si>
    <t>Default43</t>
  </si>
  <si>
    <t>Default44</t>
  </si>
  <si>
    <t>Default45</t>
  </si>
  <si>
    <t>Default46</t>
  </si>
  <si>
    <t>Default47</t>
  </si>
  <si>
    <t>Default48</t>
  </si>
  <si>
    <t>Default49</t>
  </si>
  <si>
    <t>Default50</t>
  </si>
  <si>
    <t>Default51</t>
  </si>
  <si>
    <t>Default52</t>
  </si>
  <si>
    <t>Default53</t>
  </si>
  <si>
    <t>Default54</t>
  </si>
  <si>
    <t>Default55</t>
  </si>
  <si>
    <t>Default56</t>
  </si>
  <si>
    <t>Default57</t>
  </si>
  <si>
    <t>Default58</t>
  </si>
  <si>
    <t>Default59</t>
  </si>
  <si>
    <t>Default60</t>
  </si>
  <si>
    <t>Default61</t>
  </si>
  <si>
    <t>Default62</t>
  </si>
  <si>
    <t>Default63</t>
  </si>
  <si>
    <t>Default64</t>
  </si>
  <si>
    <t>Default65</t>
  </si>
  <si>
    <t>Default66</t>
  </si>
  <si>
    <t>Default67</t>
  </si>
  <si>
    <t>Default68</t>
  </si>
  <si>
    <t>Default69</t>
  </si>
  <si>
    <t>Default70</t>
  </si>
  <si>
    <t>Default71</t>
  </si>
  <si>
    <t>Default72</t>
  </si>
  <si>
    <t>Default73</t>
  </si>
  <si>
    <t>Default74</t>
  </si>
  <si>
    <t>Default75</t>
  </si>
  <si>
    <t>Default76</t>
  </si>
  <si>
    <t>Default77</t>
  </si>
  <si>
    <t>Default78</t>
  </si>
  <si>
    <t>Default79</t>
  </si>
  <si>
    <t>Default80</t>
  </si>
  <si>
    <t>Default81</t>
  </si>
  <si>
    <t>Default82</t>
  </si>
  <si>
    <t>Default83</t>
  </si>
  <si>
    <t>Default84</t>
  </si>
  <si>
    <t>Default85</t>
  </si>
  <si>
    <t>Default86</t>
  </si>
  <si>
    <t>Default87</t>
  </si>
  <si>
    <t>Default88</t>
  </si>
  <si>
    <t>Default89</t>
  </si>
  <si>
    <t>Default90</t>
  </si>
  <si>
    <t>Default91</t>
  </si>
  <si>
    <t>Default92</t>
  </si>
  <si>
    <t>Default93</t>
  </si>
  <si>
    <t>Default94</t>
  </si>
  <si>
    <t>Default95</t>
  </si>
  <si>
    <t>Default96</t>
  </si>
  <si>
    <t>Default97</t>
  </si>
  <si>
    <t>Default98</t>
  </si>
  <si>
    <t>Default99</t>
  </si>
  <si>
    <t>Default100</t>
  </si>
  <si>
    <t>Default101</t>
  </si>
  <si>
    <t>Economy1</t>
  </si>
  <si>
    <t>Economy2</t>
  </si>
  <si>
    <t>Economy3</t>
  </si>
  <si>
    <t>Economy4</t>
  </si>
  <si>
    <t>Economy5</t>
  </si>
  <si>
    <t>Economy6</t>
  </si>
  <si>
    <t>Economy7</t>
  </si>
  <si>
    <t>Economy8</t>
  </si>
  <si>
    <t>Average1</t>
  </si>
  <si>
    <t>Average2</t>
  </si>
  <si>
    <t>Average3</t>
  </si>
  <si>
    <t>Average4</t>
  </si>
  <si>
    <t>Average5</t>
  </si>
  <si>
    <t>Average6</t>
  </si>
  <si>
    <t>Average7</t>
  </si>
  <si>
    <t>Average8</t>
  </si>
  <si>
    <t>Average9</t>
  </si>
  <si>
    <t>Average10</t>
  </si>
  <si>
    <t>Average11</t>
  </si>
  <si>
    <t>Average12</t>
  </si>
  <si>
    <t>Custom1</t>
  </si>
  <si>
    <t>Custom2</t>
  </si>
  <si>
    <t>Custom3</t>
  </si>
  <si>
    <t>Custom4</t>
  </si>
  <si>
    <t>Custom5</t>
  </si>
  <si>
    <t>Custom6</t>
  </si>
  <si>
    <t>Custom7</t>
  </si>
  <si>
    <t>Custom8</t>
  </si>
  <si>
    <t>Custom9</t>
  </si>
  <si>
    <t>Custom10</t>
  </si>
  <si>
    <t>Luxury1</t>
  </si>
  <si>
    <t>Luxury2</t>
  </si>
  <si>
    <t>Luxury3</t>
  </si>
  <si>
    <t>Luxury4</t>
  </si>
  <si>
    <t>Luxury5</t>
  </si>
  <si>
    <t>Luxury6</t>
  </si>
  <si>
    <t>Luxury7</t>
  </si>
  <si>
    <t>Luxury8</t>
  </si>
  <si>
    <t>Luxury9</t>
  </si>
  <si>
    <t>Luxury10</t>
  </si>
  <si>
    <t>Default</t>
  </si>
  <si>
    <t>Economy</t>
  </si>
  <si>
    <t>Apartment 1-3 Story</t>
  </si>
  <si>
    <t>Brick Veneer/Reinforced Concrete</t>
  </si>
  <si>
    <t xml:space="preserve">Brick Veneer &amp; Concrete Block / Bearing Walls </t>
  </si>
  <si>
    <t>Concrete Block/Bearing Walls</t>
  </si>
  <si>
    <t>Face Brick &amp; Concrete Block/Reinforced Concrete</t>
  </si>
  <si>
    <t xml:space="preserve">Concrete Block/Steel Roof Deck </t>
  </si>
  <si>
    <t>Decorative Concrete Block/Bearing walls</t>
  </si>
  <si>
    <t>Decorative Concrete Block/Steel Truss</t>
  </si>
  <si>
    <t>Brick Veneer/Wood Frame</t>
  </si>
  <si>
    <t>Decorative Concrete Block/Steel Joist</t>
  </si>
  <si>
    <t>Decorative Concrete Block/Reinforced Concrete</t>
  </si>
  <si>
    <t>Brick Veneer/ Rigid Steel</t>
  </si>
  <si>
    <t>Brick Veneer/ Reinforeced Concrete</t>
  </si>
  <si>
    <t>Brick Veneer/wood Frame</t>
  </si>
  <si>
    <t>Concrete Block/Bearing Wall</t>
  </si>
  <si>
    <t>Face Brick &amp; Common Brick/Reinforced Concrete</t>
  </si>
  <si>
    <t>Decorative Concrete Block/Precast Concrete</t>
  </si>
  <si>
    <t>Aluminum Clapboard/Wood Frame</t>
  </si>
  <si>
    <t>E.I.F.S. &amp; Concrete Block/Rigid Steel</t>
  </si>
  <si>
    <t>Cast in Place Concrete/Reinforced Concrete</t>
  </si>
  <si>
    <t>Cast in Place Concrete/Steel Joists</t>
  </si>
  <si>
    <t>Cast in Place Concrete/Rigid Steel</t>
  </si>
  <si>
    <t>Brick Veneer/Wood Truss</t>
  </si>
  <si>
    <t>Conrete Block/Steel Joists</t>
  </si>
  <si>
    <t>Face Brick &amp; Concrete Block/Bearing walls</t>
  </si>
  <si>
    <t>Curtain Wall/Reinforced Conrete</t>
  </si>
  <si>
    <t>Brick Veneer/Rigid Steel</t>
  </si>
  <si>
    <t>Aluminum Clapboard/Wood Truss</t>
  </si>
  <si>
    <t>Face Brick &amp; Concrete Block/Steel Joists</t>
  </si>
  <si>
    <t>E.I.F.S./Reinforced Concrete</t>
  </si>
  <si>
    <t>Fiber Cement/Rigid Steel</t>
  </si>
  <si>
    <t>Face Brick/Wood Frame</t>
  </si>
  <si>
    <t xml:space="preserve">Face Brick &amp; Concrete Block/Bearing Walls </t>
  </si>
  <si>
    <t>Concrete Block/Precast Concrete</t>
  </si>
  <si>
    <t>Concrete Block/Reinforced Concrete</t>
  </si>
  <si>
    <t>Brick Veneer - Wood Frame</t>
  </si>
  <si>
    <t>6" Log - Solid Wall</t>
  </si>
  <si>
    <t>Average</t>
  </si>
  <si>
    <t>Apartment 4-7 Story</t>
  </si>
  <si>
    <t>Brick Veneer &amp; Concrete Block / Wood Truss</t>
  </si>
  <si>
    <t>Concrete Block/Rigid Steel</t>
  </si>
  <si>
    <t>Face Brick &amp; Concrete Block/Rigid Steel</t>
  </si>
  <si>
    <t xml:space="preserve">Decorative Concrete Block/Steel Roof Deck </t>
  </si>
  <si>
    <t>Decorative Concrete Block/Rigid Steel</t>
  </si>
  <si>
    <t>Decorative Concrete Block/Wood Arch</t>
  </si>
  <si>
    <t>Stone Ashlar &amp; Cocnrete block/Steel Joist</t>
  </si>
  <si>
    <t>Decorative Concrete Block/Wood Joist</t>
  </si>
  <si>
    <t xml:space="preserve">Brick Veneer/Rigid Steel </t>
  </si>
  <si>
    <t>Brick Veneer/ Reinforced Concrete</t>
  </si>
  <si>
    <t>Curtain Wall/Rigid steel</t>
  </si>
  <si>
    <t>Face Brick &amp; Common Brick/Rigid Steel</t>
  </si>
  <si>
    <t>Decorative Concrete Block/Steel Joists</t>
  </si>
  <si>
    <t>Decorative Concrete Block/Wood Joists</t>
  </si>
  <si>
    <t>Cast in Place Concrete/Wood Joists</t>
  </si>
  <si>
    <t xml:space="preserve">Decorative Concrete Block/Rigid Steel </t>
  </si>
  <si>
    <t>E.I.F.S./Rigid Steel</t>
  </si>
  <si>
    <t>E.I.F.S. &amp; Metal Studs/Steel Roof Deck</t>
  </si>
  <si>
    <t>Curtain Wall/Rigid Steel</t>
  </si>
  <si>
    <t>Metal Panel &amp; Wood Studs/Wood Truss</t>
  </si>
  <si>
    <t>Face Brick &amp; Concrete Block/Wood Joists</t>
  </si>
  <si>
    <t>Stone Veneer/Rigid Steel</t>
  </si>
  <si>
    <t xml:space="preserve">E.I.F.S./Rigid Steel </t>
  </si>
  <si>
    <t>Metal Sandwich Panel/Rigid Steel</t>
  </si>
  <si>
    <t>E.I.F.S. &amp; Metal Studs/Steel Joists</t>
  </si>
  <si>
    <t>Concrete Block/Wood Frame</t>
  </si>
  <si>
    <t>E.I.F.S./Wood Frame</t>
  </si>
  <si>
    <t>E.I.F.S./Steel Joists</t>
  </si>
  <si>
    <t>Painted Concrete Block</t>
  </si>
  <si>
    <t>Solid Masonry</t>
  </si>
  <si>
    <t>8" Log - Solid Wall</t>
  </si>
  <si>
    <t>Solid Brick</t>
  </si>
  <si>
    <t xml:space="preserve">Solid Brick </t>
  </si>
  <si>
    <t>Custom</t>
  </si>
  <si>
    <t>Apartment 8-24 Story</t>
  </si>
  <si>
    <t>E.I.F.S. &amp; Metal studs/Rigid Steel</t>
  </si>
  <si>
    <t xml:space="preserve">Cuttain Wall/Rigid Steel </t>
  </si>
  <si>
    <t>Brick Veneer / Rigid Steel</t>
  </si>
  <si>
    <t>Decorative Concrete Block/Bearing Walls</t>
  </si>
  <si>
    <t>Limestone &amp; Concrete Block/Reinforced Concrete</t>
  </si>
  <si>
    <t xml:space="preserve">Face Brick &amp; Concrete Block/Steel Roof Deck </t>
  </si>
  <si>
    <t>Face Brick &amp; Concrete Block/Steel Truss</t>
  </si>
  <si>
    <t>Stone Ashlar &amp; Cocnrete block/Wood Truss</t>
  </si>
  <si>
    <t>Face Brick &amp; Concrete Block/Steel Joist</t>
  </si>
  <si>
    <t>Cutain Wall/Rigid Steel</t>
  </si>
  <si>
    <t>Curtain wall/ Rigid Steel</t>
  </si>
  <si>
    <t>Face Brick &amp; Concrete Block/Precast Concrete</t>
  </si>
  <si>
    <t>Face Brick &amp; Concrete Block/Wood Truss</t>
  </si>
  <si>
    <t>Concrete Block/Steel Joists</t>
  </si>
  <si>
    <t>Concrete Block/Wood Arch</t>
  </si>
  <si>
    <t>Metal Panel/Rigid Steel</t>
  </si>
  <si>
    <t>Conrete Block/Wood Truss</t>
  </si>
  <si>
    <t>Precast Concrete/Bearing walls</t>
  </si>
  <si>
    <t>Face Brick &amp; Concrete Block/Steel Roof Deck</t>
  </si>
  <si>
    <t>Plywood Siding/Wood Truss</t>
  </si>
  <si>
    <t>Limestone &amp; Concrete Block/Steel Joists</t>
  </si>
  <si>
    <t>Stucco/Reinforced Concrete</t>
  </si>
  <si>
    <t>Precast Concrete/Rigid Steel</t>
  </si>
  <si>
    <t>Face Brick &amp; Metal Studs/Reinforced Concrete</t>
  </si>
  <si>
    <t>Fiber Cement/Wood Frame</t>
  </si>
  <si>
    <t>E.I.F.S./Wood Truss</t>
  </si>
  <si>
    <t>Stucco on Wood Frame</t>
  </si>
  <si>
    <t>Stone Veneer - Wood Frame</t>
  </si>
  <si>
    <t>Solid Stone</t>
  </si>
  <si>
    <t xml:space="preserve">Solid Stone </t>
  </si>
  <si>
    <t>Luxury</t>
  </si>
  <si>
    <t xml:space="preserve">Assisted - Senior Living </t>
  </si>
  <si>
    <t>Brick Veneer / Wood Frame</t>
  </si>
  <si>
    <t>Face Brick &amp; Concrete Block/Bearing Walls</t>
  </si>
  <si>
    <t>Limestone &amp; Concrete Block/Rigid Steel</t>
  </si>
  <si>
    <t xml:space="preserve">Jumbo Brick &amp; Concrete Block/Steel Roof Deck </t>
  </si>
  <si>
    <t>Face Brick &amp; Concrete Block/Rigid Wood Arch</t>
  </si>
  <si>
    <t>Stucco &amp; Cocnrete Block/Steel Joist</t>
  </si>
  <si>
    <t>Face Brick &amp; Concrete Block/Wood Joist</t>
  </si>
  <si>
    <t xml:space="preserve">Fiber Cement/ Rigid Steel </t>
  </si>
  <si>
    <t>Stucco &amp; Concrete Block/Wood Truss</t>
  </si>
  <si>
    <t xml:space="preserve">Metal Panel/Rigid Steel </t>
  </si>
  <si>
    <t>Stucco &amp; Concrete Block/Bearing walls</t>
  </si>
  <si>
    <t>Limestone &amp; Concrete Block/Wood Truss</t>
  </si>
  <si>
    <t>Concrete Block/Wood Joists</t>
  </si>
  <si>
    <t>Face Brick &amp; Glazed Block/Steel Joists</t>
  </si>
  <si>
    <t>Reinforced Concrete/Reinforced Concrete</t>
  </si>
  <si>
    <t>Precast Concrete/Reinforced Concrete</t>
  </si>
  <si>
    <t>Stucco &amp; Concrete Block/Steel Joists</t>
  </si>
  <si>
    <t>Precast Concrete/Wood Truss</t>
  </si>
  <si>
    <t>Stucco &amp; Concrete Block/Precast Concrete</t>
  </si>
  <si>
    <t>Metal Sandwich Panel/Steel Joists</t>
  </si>
  <si>
    <t xml:space="preserve">Precast Concrete/Rigid Steel </t>
  </si>
  <si>
    <t>Wood Clapboard/Wood Truss</t>
  </si>
  <si>
    <t>Limestone &amp; Concrete Block/Wood Joists</t>
  </si>
  <si>
    <t>Wood Clapboard/Wood Frame</t>
  </si>
  <si>
    <t xml:space="preserve">Stucco &amp; Concrete Block/Bearing Walls </t>
  </si>
  <si>
    <t>Face Brick &amp; Metal Studs/Rigid Steel</t>
  </si>
  <si>
    <t xml:space="preserve">Pre-Engineered Metal Building/Rigid Steel </t>
  </si>
  <si>
    <t>Wood Siding - Wood Frame</t>
  </si>
  <si>
    <t>Auditurium</t>
  </si>
  <si>
    <t>Stone Veneer / Wood Frame</t>
  </si>
  <si>
    <t>Vinyl Clapboard / Wood Frame</t>
  </si>
  <si>
    <t>Precast Concrete / Reinforced Concrete</t>
  </si>
  <si>
    <t xml:space="preserve">Precast Concrete/Steel Roof Deck </t>
  </si>
  <si>
    <t>Stone &amp; Concrete Block/Steel Truss</t>
  </si>
  <si>
    <t>Stucco &amp; Cocnrete Block/Wood Truss</t>
  </si>
  <si>
    <t>Stone Veneer/Reinforced Concrete</t>
  </si>
  <si>
    <t>Precast Concrete/Precast Concrete</t>
  </si>
  <si>
    <t>Tilt-up Concrete Panels/Bearing walls</t>
  </si>
  <si>
    <t>Metal Panel / Reinforced Concrete</t>
  </si>
  <si>
    <t>Stone &amp; Concrete Block/ Reinforced Concrete</t>
  </si>
  <si>
    <t>Tilt-up Concrete Panels/Steel Joists</t>
  </si>
  <si>
    <t>Stucco &amp; Concrete Block/Reinforced Concrete</t>
  </si>
  <si>
    <t>Limestone &amp; Concrete Block/Bearing walls</t>
  </si>
  <si>
    <t>Limestone &amp; Concrete Block/Precast Concrete</t>
  </si>
  <si>
    <t>Wood Board and Batten/Wood Frame</t>
  </si>
  <si>
    <t>Stucco &amp; Concrete Block/Rigid Steel</t>
  </si>
  <si>
    <t>Precast Concrete / Precast Concrete</t>
  </si>
  <si>
    <t>Face Brick &amp; Concrete Block/Wood Arch</t>
  </si>
  <si>
    <t>Precast Concrete/Bearing Walls</t>
  </si>
  <si>
    <t>Metal Panel/Reinforced Concrete</t>
  </si>
  <si>
    <t>Stone Veneer/Wood Frame</t>
  </si>
  <si>
    <t>Stucco &amp; Concrete Block/Wood Joists</t>
  </si>
  <si>
    <t>Precast Concrete/Steel Joists</t>
  </si>
  <si>
    <t>Tilt-up  Concrete Panels/Steel Roof Deck</t>
  </si>
  <si>
    <t>Limestone &amp; Concrete Block/Bearing Walls</t>
  </si>
  <si>
    <t>Metal Panel &amp; Metal Studs/Rigid Steel</t>
  </si>
  <si>
    <t>Metal Sandwich Panel/Wood Truss</t>
  </si>
  <si>
    <t>Stone &amp; Concrete Block/Steel Joists</t>
  </si>
  <si>
    <t>Stone &amp; Concrete Block/Reinforced Concrete</t>
  </si>
  <si>
    <t>Bank</t>
  </si>
  <si>
    <t>Stucco &amp; Concrete Block/Reinforced concrete</t>
  </si>
  <si>
    <t>Stucco/Reinforced concrete</t>
  </si>
  <si>
    <t>Wood ClapBoard / Wood Frame</t>
  </si>
  <si>
    <t xml:space="preserve">Precast Concrete / Rigid steel </t>
  </si>
  <si>
    <t xml:space="preserve">Stucco &amp; Concrete Block/Steel Roof Deck </t>
  </si>
  <si>
    <t>Stone &amp; Concrete Block/Rigid Wood Arch</t>
  </si>
  <si>
    <t>Wood Shingles/wood Frame</t>
  </si>
  <si>
    <t>Tilt-up Concrete Panels/Rigid Steel</t>
  </si>
  <si>
    <t>Stone Veneer/ Wood Frame</t>
  </si>
  <si>
    <t xml:space="preserve">Stone &amp; Concrete Block/ Rigid steel </t>
  </si>
  <si>
    <t>Wood Clapboard/Wood Frame.</t>
  </si>
  <si>
    <t xml:space="preserve">Tilt-up Concrete Panels/Rigid Steel </t>
  </si>
  <si>
    <t>Stucco/Wood Frame</t>
  </si>
  <si>
    <t>Vinyl Clapboard/Wood Frame</t>
  </si>
  <si>
    <t>Wood Shingles/Wood Frame</t>
  </si>
  <si>
    <t>Tilt-up  Concrete Panels/Rigid Steel</t>
  </si>
  <si>
    <t>Tilt-up Concrete Panels/Reinforced Concrete</t>
  </si>
  <si>
    <t>Stone &amp; Concrete Block/Wood Joists</t>
  </si>
  <si>
    <t>Stone &amp; Concrete Block/Rigid Steel</t>
  </si>
  <si>
    <t>Bank (Green)</t>
  </si>
  <si>
    <t>Bowling Alley</t>
  </si>
  <si>
    <t xml:space="preserve">Bus Terminal </t>
  </si>
  <si>
    <t xml:space="preserve">Car Wash </t>
  </si>
  <si>
    <t>Church</t>
  </si>
  <si>
    <t>Club, Country</t>
  </si>
  <si>
    <t>Cub, Social</t>
  </si>
  <si>
    <t>College, Classroom, 2-3 Story</t>
  </si>
  <si>
    <t>College, Dormitory, 2-3Story</t>
  </si>
  <si>
    <t>College, Classroom, 2-3 Story (Green)</t>
  </si>
  <si>
    <t>College, Dormitory, 2-3Story (Green)</t>
  </si>
  <si>
    <t>College, Dormitory, 4-8Story (Green)</t>
  </si>
  <si>
    <t>College, Dormitory, 4-8Story</t>
  </si>
  <si>
    <t>College, Laboratory</t>
  </si>
  <si>
    <t>College, Laboratory (Green)</t>
  </si>
  <si>
    <t>College, Student Union</t>
  </si>
  <si>
    <t>Community Center</t>
  </si>
  <si>
    <t>Computer Data Center</t>
  </si>
  <si>
    <t>Courthouse, 1 story</t>
  </si>
  <si>
    <t>Courthouse, 2-3story</t>
  </si>
  <si>
    <t>Day care center</t>
  </si>
  <si>
    <t>Factory, 1 Story</t>
  </si>
  <si>
    <t>Factory, 3 Story</t>
  </si>
  <si>
    <t>Fire Station Story 1</t>
  </si>
  <si>
    <t>Fire Station Story 1 (Green)</t>
  </si>
  <si>
    <t>Fire Station Story 2</t>
  </si>
  <si>
    <t>Fire Station Story 2 (Green)</t>
  </si>
  <si>
    <t>Fraternity/Sorority House</t>
  </si>
  <si>
    <t>Funeral Home</t>
  </si>
  <si>
    <t>Funeral Home (Green)</t>
  </si>
  <si>
    <t>Garage, Auto Sales</t>
  </si>
  <si>
    <t>Garage, Parking</t>
  </si>
  <si>
    <t>Garage, Repair</t>
  </si>
  <si>
    <t>Garage,Service Station</t>
  </si>
  <si>
    <t>Garage, Underground Parking</t>
  </si>
  <si>
    <t>Gymnasium</t>
  </si>
  <si>
    <t>Hangar, Aircraft</t>
  </si>
  <si>
    <t>Hospital 2-3 Story</t>
  </si>
  <si>
    <t>Hospital 4-8 Story</t>
  </si>
  <si>
    <t>Hotel, 4-7 Story</t>
  </si>
  <si>
    <t>Hotel, 8-24 Story</t>
  </si>
  <si>
    <t>Jail</t>
  </si>
  <si>
    <t>Laundromant</t>
  </si>
  <si>
    <t>Library</t>
  </si>
  <si>
    <t>Library (Green)</t>
  </si>
  <si>
    <t>Medical Office, 1 Story</t>
  </si>
  <si>
    <t>Medical Office, 1 Story (Green)</t>
  </si>
  <si>
    <t>Medical Office, 2 Story</t>
  </si>
  <si>
    <t>Medical Office, 2 Story (Green)</t>
  </si>
  <si>
    <t>Motel, 1 Story</t>
  </si>
  <si>
    <t>Motel, 1 Story (Green)</t>
  </si>
  <si>
    <t>Motel, 2-3 Story</t>
  </si>
  <si>
    <t>Motel, 2-3 Story (Green)</t>
  </si>
  <si>
    <t>Movie Theater</t>
  </si>
  <si>
    <t>Nursing Home</t>
  </si>
  <si>
    <t>Office, 1 Story</t>
  </si>
  <si>
    <t>Office, 1 Story (Green)</t>
  </si>
  <si>
    <t>Office, 11-20 Story</t>
  </si>
  <si>
    <t>Office, 11-20 Story (Green)</t>
  </si>
  <si>
    <t>Office, 2-4 Story</t>
  </si>
  <si>
    <t>Office, 2-4 Story (Green)</t>
  </si>
  <si>
    <t>Office, 5-10 Story</t>
  </si>
  <si>
    <t>Office, 5-10 Story (Green)</t>
  </si>
  <si>
    <t>Outpatient Surgery Center</t>
  </si>
  <si>
    <t>Police Station</t>
  </si>
  <si>
    <t>Police Station (Green)</t>
  </si>
  <si>
    <t xml:space="preserve">Post Frame Barn </t>
  </si>
  <si>
    <t>Post Office</t>
  </si>
  <si>
    <t>Racquetball court</t>
  </si>
  <si>
    <t>Religious Education</t>
  </si>
  <si>
    <t>Resturant</t>
  </si>
  <si>
    <t>Resturant (Green)</t>
  </si>
  <si>
    <t xml:space="preserve">Resturant, Fast Food </t>
  </si>
  <si>
    <t>School, Elementary</t>
  </si>
  <si>
    <t>School, Elementary (Green)</t>
  </si>
  <si>
    <t>School, High 2-3 Story</t>
  </si>
  <si>
    <t>School, High 2-3 Story (Green)</t>
  </si>
  <si>
    <t>School, Jr High, 2-3 Story</t>
  </si>
  <si>
    <t>School, Jr High, 2-3 Story (Green)</t>
  </si>
  <si>
    <t>School, Vocational</t>
  </si>
  <si>
    <t>School, Vocational (Green)</t>
  </si>
  <si>
    <t>Store, Convenience</t>
  </si>
  <si>
    <t>Store Department, 1 Story</t>
  </si>
  <si>
    <t>Store Department, 3 Story</t>
  </si>
  <si>
    <t>Store, Retail</t>
  </si>
  <si>
    <t>Supermarket</t>
  </si>
  <si>
    <t>Supermarket (Green)</t>
  </si>
  <si>
    <t>Swimming Pool, Enclosed</t>
  </si>
  <si>
    <t>Telephone Exchange</t>
  </si>
  <si>
    <t>Town Hall, 1 Story</t>
  </si>
  <si>
    <t>Town Hall, 2-3 Story</t>
  </si>
  <si>
    <t>Veterinary Hospital</t>
  </si>
  <si>
    <t>Warehouse</t>
  </si>
  <si>
    <t>Warehouse (Green)</t>
  </si>
  <si>
    <t>Warehouse Self Storage</t>
  </si>
  <si>
    <t>Economy 1 Story</t>
  </si>
  <si>
    <t>Economy 1 Story wings &amp; ells</t>
  </si>
  <si>
    <t>Economy 1 - 1/2 Story</t>
  </si>
  <si>
    <t>Economy 1 - 1/2 Story wings &amp; ells</t>
  </si>
  <si>
    <t>Economy 2 Story</t>
  </si>
  <si>
    <t>Economy 2 Story wings &amp; ells</t>
  </si>
  <si>
    <t>Economy Bi level</t>
  </si>
  <si>
    <t>Economy Tri level</t>
  </si>
  <si>
    <t>Average Story 1</t>
  </si>
  <si>
    <t>Average 1 Story wings &amp; ells</t>
  </si>
  <si>
    <t>Average 1 - 1/2 Story</t>
  </si>
  <si>
    <t>Average 1 - 1/2 Story wings &amp; ells</t>
  </si>
  <si>
    <t>Average 2 Story</t>
  </si>
  <si>
    <t>Average 2 Story wings &amp; ells</t>
  </si>
  <si>
    <t>Average 2 - 1/2 Story</t>
  </si>
  <si>
    <t>Average 3 Story</t>
  </si>
  <si>
    <t>Average Bi level</t>
  </si>
  <si>
    <t>Average Tri level</t>
  </si>
  <si>
    <t>Solid Wall 1 Story</t>
  </si>
  <si>
    <t>Solid Wall 2 Story</t>
  </si>
  <si>
    <t>Custom Story 1</t>
  </si>
  <si>
    <t>Custom 1 Story wings &amp; ells</t>
  </si>
  <si>
    <t>Custom 1 - 1/2 Story</t>
  </si>
  <si>
    <t>Custom 1 - 1/2 Story wings &amp; ells</t>
  </si>
  <si>
    <t>Custom 2 Story</t>
  </si>
  <si>
    <t>Custom 2 Story wings &amp; ells</t>
  </si>
  <si>
    <t>Custom 2 - 1/2 Story</t>
  </si>
  <si>
    <t>Custom 3 Story</t>
  </si>
  <si>
    <t>Custom Bi level</t>
  </si>
  <si>
    <t>Custom Tri level</t>
  </si>
  <si>
    <t>Luxury Story 1</t>
  </si>
  <si>
    <t>Luxury 1 Story wings &amp; ells</t>
  </si>
  <si>
    <t>Luxury 1 - 1/2 Story</t>
  </si>
  <si>
    <t>Luxury 1 - 1/2 Story wings &amp; ells</t>
  </si>
  <si>
    <t>Luxury 2 Story</t>
  </si>
  <si>
    <t>Luxury 2 Story wings &amp; ells</t>
  </si>
  <si>
    <t>Luxury 2 - 1/2 Story</t>
  </si>
  <si>
    <t>Luxury 3 Story</t>
  </si>
  <si>
    <t>Luxury Bi level</t>
  </si>
  <si>
    <t>Luxury Tri level</t>
  </si>
  <si>
    <t>Specialties</t>
  </si>
  <si>
    <t>Metals</t>
  </si>
  <si>
    <t>Steel Columns</t>
  </si>
  <si>
    <t>S1.1, S1.2</t>
  </si>
  <si>
    <t>S3.4</t>
  </si>
  <si>
    <t>W10X77 (21'-0'' H)</t>
  </si>
  <si>
    <t>W10X77 (22'-0'' H)</t>
  </si>
  <si>
    <t>W10X77 (24'-0'' H)</t>
  </si>
  <si>
    <t>W10X77 (26'-0'' H)</t>
  </si>
  <si>
    <t>W10X77 (27'-0'' H)</t>
  </si>
  <si>
    <t>W10X77 (28'-0'' H)</t>
  </si>
  <si>
    <t>W10X77 (30'-0'' H)</t>
  </si>
  <si>
    <t>W10X77 (31'-0'' H)</t>
  </si>
  <si>
    <t>W10X77 (33'-0'' H)</t>
  </si>
  <si>
    <t>W10X77 (34'-0'' H)</t>
  </si>
  <si>
    <t>W10X77 (38'-0'' H)</t>
  </si>
  <si>
    <t>W10X49 (29'-0'' H)</t>
  </si>
  <si>
    <t>Base Plates</t>
  </si>
  <si>
    <t>Steel Beams</t>
  </si>
  <si>
    <t xml:space="preserve">W6X12 Steel Beam </t>
  </si>
  <si>
    <t xml:space="preserve">W8X10 Steel Beam </t>
  </si>
  <si>
    <t xml:space="preserve">W8X18 Steel Beam </t>
  </si>
  <si>
    <t xml:space="preserve">W8X24 Steel Beam </t>
  </si>
  <si>
    <t xml:space="preserve">W10X12 Steel Beam </t>
  </si>
  <si>
    <t xml:space="preserve">W10X15 Steel Beam </t>
  </si>
  <si>
    <t xml:space="preserve">W10X22 Steel Beam </t>
  </si>
  <si>
    <t xml:space="preserve">W10X30 Steel Beam </t>
  </si>
  <si>
    <t xml:space="preserve">W12X14 Steel Beam </t>
  </si>
  <si>
    <t xml:space="preserve">W12X19 Steel Beam </t>
  </si>
  <si>
    <t xml:space="preserve">W14X22 Steel Beam </t>
  </si>
  <si>
    <t xml:space="preserve">W14X26 Steel Beam </t>
  </si>
  <si>
    <t xml:space="preserve">W14X30 Steel Beam </t>
  </si>
  <si>
    <t xml:space="preserve">W14X38 Steel Beam </t>
  </si>
  <si>
    <t xml:space="preserve">W16X26 Steel Beam </t>
  </si>
  <si>
    <t xml:space="preserve">W16X31 Steel Beam </t>
  </si>
  <si>
    <t xml:space="preserve">W16X36 Steel Beam </t>
  </si>
  <si>
    <t xml:space="preserve">W18X35 Steel Beam </t>
  </si>
  <si>
    <t xml:space="preserve">W18X40 Steel Beam </t>
  </si>
  <si>
    <t xml:space="preserve">W18X46 Steel Beam </t>
  </si>
  <si>
    <t xml:space="preserve">W18X50 Steel Beam </t>
  </si>
  <si>
    <t xml:space="preserve">W21X44 Steel Beam </t>
  </si>
  <si>
    <t xml:space="preserve">W21X48 Steel Beam </t>
  </si>
  <si>
    <t xml:space="preserve">W21X50 Steel Beam </t>
  </si>
  <si>
    <t xml:space="preserve">W21X62 Steel Beam </t>
  </si>
  <si>
    <t xml:space="preserve">W21X68 Steel Beam </t>
  </si>
  <si>
    <t xml:space="preserve">W21X83 Steel Beam </t>
  </si>
  <si>
    <t xml:space="preserve">W24X55 Steel Beam </t>
  </si>
  <si>
    <t xml:space="preserve">W24X62 Steel Beam </t>
  </si>
  <si>
    <t xml:space="preserve">W24X68 Steel Beam </t>
  </si>
  <si>
    <t xml:space="preserve">W24X74 Steel Beam </t>
  </si>
  <si>
    <t xml:space="preserve">W24X76 Steel Beam </t>
  </si>
  <si>
    <t xml:space="preserve">W24X84 Steel Beam </t>
  </si>
  <si>
    <t xml:space="preserve">W27X84 Steel Beam </t>
  </si>
  <si>
    <t xml:space="preserve">W27X94 Steel Beam </t>
  </si>
  <si>
    <t xml:space="preserve">W27X102 Steel Beam </t>
  </si>
  <si>
    <t xml:space="preserve">W30X108 Steel Beam </t>
  </si>
  <si>
    <t xml:space="preserve">W30X124 Steel Beam </t>
  </si>
  <si>
    <t>Steel Channel</t>
  </si>
  <si>
    <t xml:space="preserve">C10X5.3 Steel Channel </t>
  </si>
  <si>
    <t xml:space="preserve">C6X10.5 Steel Channel </t>
  </si>
  <si>
    <t>Steel Joists</t>
  </si>
  <si>
    <t>10K1 K-Series Joist</t>
  </si>
  <si>
    <t>16K2 K-Series Joist</t>
  </si>
  <si>
    <t>18K3 K-Series Joist</t>
  </si>
  <si>
    <t>20K4 K-Series Joist</t>
  </si>
  <si>
    <t>26K8 K-Series Joist</t>
  </si>
  <si>
    <t>28K8 K-Series Joist</t>
  </si>
  <si>
    <t>28K10 K-Series Joist</t>
  </si>
  <si>
    <t>30K8 K-Series Joist</t>
  </si>
  <si>
    <t>Steel Deck</t>
  </si>
  <si>
    <t>Misc. Items.</t>
  </si>
  <si>
    <t>L3X3X5/16 Steel Angle</t>
  </si>
  <si>
    <t>Special Steel Joist</t>
  </si>
  <si>
    <t>Steel Plate</t>
  </si>
  <si>
    <t>5/16'' Bent Plate</t>
  </si>
  <si>
    <t>Plumbing</t>
  </si>
  <si>
    <t>DIV-28</t>
  </si>
  <si>
    <t>Electronic Safety &amp; Security</t>
  </si>
  <si>
    <t>Trumbull Hillcrest Middle School</t>
  </si>
  <si>
    <t>530 Daniels Farm Road, Trumbull, CT 06611</t>
  </si>
  <si>
    <t>Earthwork</t>
  </si>
  <si>
    <t>Exterior Improvements</t>
  </si>
  <si>
    <t>Furnishings</t>
  </si>
  <si>
    <t>Heating, Ventilating, &amp; Air conditioning</t>
  </si>
  <si>
    <t>Communications</t>
  </si>
  <si>
    <t>Plan Design And Permitting</t>
  </si>
  <si>
    <t>Architecture (Assumed By Owner)</t>
  </si>
  <si>
    <t>Engineering  (Assumed By Owner)</t>
  </si>
  <si>
    <t>Soils Report  (Assumed By Owner)</t>
  </si>
  <si>
    <t>Geological Report  (Assumed By Owner)</t>
  </si>
  <si>
    <t>Permits (Based On Interior Finish Area)</t>
  </si>
  <si>
    <t xml:space="preserve">Blueprints (?? Pages) </t>
  </si>
  <si>
    <t>Utilities During Construction (Based On Interior Finish Area)</t>
  </si>
  <si>
    <t>Port-O-Potty (Based On Interior Finish Area)</t>
  </si>
  <si>
    <t>Temporary Power (Based On Interior Finish Area)</t>
  </si>
  <si>
    <t>Equipment And Tools</t>
  </si>
  <si>
    <t>Signage And Promotion</t>
  </si>
  <si>
    <t>Promotion/Entertainment</t>
  </si>
  <si>
    <t>Cleaning And Final</t>
  </si>
  <si>
    <t>Window Washing (Rough # Of Windows )</t>
  </si>
  <si>
    <t>Hss6X6X3/8 (7'-0'' H)</t>
  </si>
  <si>
    <t>Hss6X6X3/8 (8'-0'' H)</t>
  </si>
  <si>
    <t>Hss6X6X3/8 (11'-0'' H)</t>
  </si>
  <si>
    <t>Hss6X6X3/8 (14'-0'' H)</t>
  </si>
  <si>
    <t>Hss6X6X3/8 (15'-0'' H)</t>
  </si>
  <si>
    <t>Hss6X6X3/8 (17'-0'' H)</t>
  </si>
  <si>
    <t>Hss6X6X3/8 (18'-0'' H)</t>
  </si>
  <si>
    <t>Hss6X6X5/8 (14'-0'' H)</t>
  </si>
  <si>
    <t>Hss6X6X5/8 (15'-0'' H)</t>
  </si>
  <si>
    <t>Hss6X6X5/16 (2'-0'' H)</t>
  </si>
  <si>
    <t>Hss6X6X5/16 (3'-0'' H)</t>
  </si>
  <si>
    <t>Hss6X6X5/16 (14'-0'' H)</t>
  </si>
  <si>
    <t>Hss6X6X5/16 (15'-0'' H)</t>
  </si>
  <si>
    <t>Hss6X6X5/16 (18'-0'' H)</t>
  </si>
  <si>
    <t>Hss6X6X5/16 (24'-0'' H)</t>
  </si>
  <si>
    <t>Hss6X6X5/16 (51'-0'' H)</t>
  </si>
  <si>
    <t>Hss8X8X3/8 (15'-0'' H)</t>
  </si>
  <si>
    <t>Hss8X8X3/8 (18'-0'' H)</t>
  </si>
  <si>
    <t>Hss8X8X3/8 (19'-0'' H)</t>
  </si>
  <si>
    <t>Hss8X8X3/8 (21'-0'' H)</t>
  </si>
  <si>
    <t>Hss8X8X3/8 (25'-0'' H)</t>
  </si>
  <si>
    <t>Hss8X8X3/8 (28'-0'' H)</t>
  </si>
  <si>
    <t>Hss8X8X3/8 (32'-0'' H)</t>
  </si>
  <si>
    <t>Hss8X8X3/8 (34'-0'' H)</t>
  </si>
  <si>
    <t>Hss8X8X5/8 (32'-0'' H)</t>
  </si>
  <si>
    <t>Hss8X8X5/8 (40'-0'' H)</t>
  </si>
  <si>
    <t>Hss8X8X5/8 (42'-0'' H)</t>
  </si>
  <si>
    <t>Hss8X8X5/8 (44'-0'' H)</t>
  </si>
  <si>
    <t>Hss8X8X5/8 (46'-0'' H)</t>
  </si>
  <si>
    <t>Hss8X8X5/8 (49'-0'' H)</t>
  </si>
  <si>
    <t>Hss8X8X5/8 (51'-0'' H)</t>
  </si>
  <si>
    <t>Hss8X8X5/8 (52'-0'' H)</t>
  </si>
  <si>
    <t>Hss8X8X5/8 (54'-0'' H)</t>
  </si>
  <si>
    <t>Hss8X8X1/2 (45'-0'' H)</t>
  </si>
  <si>
    <t>Hss8X8X1/2 (52'-0'' H)</t>
  </si>
  <si>
    <t>Hss10X8X5/8 (14'-0'' H)</t>
  </si>
  <si>
    <t>Hss10X8X5/8 (29'-0'' H)</t>
  </si>
  <si>
    <t>Hss10X8X5/8 (42'-0'' H)</t>
  </si>
  <si>
    <t>Hss10X8X5/8 (43'-0'' H)</t>
  </si>
  <si>
    <t>Hss10X8X5/8 (45'-0'' H)</t>
  </si>
  <si>
    <t>Hss10X8X5/8 (48'-0'' H)</t>
  </si>
  <si>
    <t>Hss10X8X5/8 (49'-0'' H)</t>
  </si>
  <si>
    <t>Hss10X8X5/8 (51'-0'' H)</t>
  </si>
  <si>
    <t>Hss10X8X5/8 (52'-0'' H)</t>
  </si>
  <si>
    <t>Hss10X8X5/8 (54'-0'' H)</t>
  </si>
  <si>
    <t>Hss10X10X3/8 (20'-0'' H)</t>
  </si>
  <si>
    <t>Hss10X10X3/8 (27'-0'' H)</t>
  </si>
  <si>
    <t>Hss10X10X3/8 (32'-0'' H)</t>
  </si>
  <si>
    <t>Hss10X10X3/8 (33'-0'' H)</t>
  </si>
  <si>
    <t>Hss12.750X0.375 (34'-0'' H)</t>
  </si>
  <si>
    <t>Hss10.750X0.375 (34'-0'' H)</t>
  </si>
  <si>
    <t>Hss10.750X0.375 (52'-0'' H)</t>
  </si>
  <si>
    <t>Hss8.625X0.188 (18'-0'' H)</t>
  </si>
  <si>
    <t>Hss8.625X0.188 (32'-0'' H)</t>
  </si>
  <si>
    <t>Hss8.625X0.375 (40'-0'' H)</t>
  </si>
  <si>
    <t>Hss10X0.375 (14'-0'' H)</t>
  </si>
  <si>
    <t>Hss10X0.375 (23'-0'' H)</t>
  </si>
  <si>
    <t>Hss10X0.375 (29'-0'' H)</t>
  </si>
  <si>
    <t>Hss10X0.375 (42'-0'' H)</t>
  </si>
  <si>
    <t>Bp-1: 16''X16''X1'' Base Plate</t>
  </si>
  <si>
    <t>Bp-2: 16''X12''X1 1/4'' Base Plate</t>
  </si>
  <si>
    <t>Bp-3: 14''X14''X1'' Base Plate</t>
  </si>
  <si>
    <t>Bp-5: 16''X14''X1 1/2'' Base Plate</t>
  </si>
  <si>
    <t xml:space="preserve">Hss5X5X5/16 Steel Beam </t>
  </si>
  <si>
    <t xml:space="preserve">Hss6X6X1/2 Steel Beam </t>
  </si>
  <si>
    <t xml:space="preserve">Hss9X5X5/16 Steel Beam </t>
  </si>
  <si>
    <t xml:space="preserve">Hss10X10X5/16 Steel Beam </t>
  </si>
  <si>
    <t xml:space="preserve">Hss12X12X1/2 Steel Beam </t>
  </si>
  <si>
    <t xml:space="preserve">Hss8X6X1/2 Steel Beam </t>
  </si>
  <si>
    <t xml:space="preserve">Hss8X4X1/4 Steel Beam </t>
  </si>
  <si>
    <t xml:space="preserve">Hss8X8X3/8 Steel Beam </t>
  </si>
  <si>
    <t xml:space="preserve">Hss12X8X3/8 Steel Beam </t>
  </si>
  <si>
    <t xml:space="preserve">Hss16X8X3/8 Steel Beam </t>
  </si>
  <si>
    <t>1000 S250-54 (50 Ksi) Cf Joists</t>
  </si>
  <si>
    <t>44Lh09 Steel Bar Joist</t>
  </si>
  <si>
    <t>36Lhsp Steel Bar Joist</t>
  </si>
  <si>
    <t>32Lhsp Steel Bar Joist</t>
  </si>
  <si>
    <t>20Lhsp Steel Bar Joist</t>
  </si>
  <si>
    <t>24Lhsp Steel Bar Joist</t>
  </si>
  <si>
    <t>S1: 2''-18Ga Lok Galv. Composite Floor Deck</t>
  </si>
  <si>
    <t>D1.5: 1 1/2'' X 20Ga Galvanized Type ''B'' Metal Roof Deck</t>
  </si>
  <si>
    <t>D0.6: 9/16''-26Ga Ufs Form Deck</t>
  </si>
  <si>
    <t>D3.0Ca: 18 Guage/18 Guage 3Npa Galv. Cellular Acoustic Roof Deck</t>
  </si>
  <si>
    <t>GC</t>
  </si>
  <si>
    <t>Federal Prevailing Wage)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</si>
</sst>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6">
    <numFmt numFmtId="43" formatCode="_-* #,##0.00_-;\-* #,##0.00_-;_-* &quot;-&quot;??_-;_-@_-"/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&quot;$&quot;#,##0"/>
    <numFmt numFmtId="169" formatCode="_(&quot;$&quot;* #,##0_);_(&quot;$&quot;* \(#,##0\);_(&quot;$&quot;* &quot;-&quot;??_);_(@_)"/>
    <numFmt numFmtId="170" formatCode="_(&quot;$&quot;* #,##0_);_(&quot;$&quot;* \(#,##0\);_(&quot;$&quot;* &quot;-&quot;?_);_(@_)"/>
    <numFmt numFmtId="171" formatCode="_(&quot;$&quot;* #,##0.0_);_(&quot;$&quot;* \(#,##0.0\);_(&quot;$&quot;* &quot;-&quot;??_);_(@_)"/>
    <numFmt numFmtId="172" formatCode="_-&quot;$&quot;* #,##0_-;\-&quot;$&quot;* #,##0_-;_-&quot;$&quot;* &quot;-&quot;??_-;_-@_-"/>
    <numFmt numFmtId="173" formatCode="_(* #,##0_);_(* \(#,##0\);_(* &quot;-&quot;??_);_(@_)"/>
    <numFmt numFmtId="174" formatCode="0.000"/>
    <numFmt numFmtId="175" formatCode="0.0%"/>
    <numFmt numFmtId="176" formatCode="0.000%"/>
    <numFmt numFmtId="177" formatCode="&quot;$&quot;#,##0.00"/>
    <numFmt numFmtId="178" formatCode="_-[$$-409]* #,##0.00_ ;_-[$$-409]* \-#,##0.00\ ;_-[$$-409]* &quot;-&quot;??_ ;_-@_ "/>
  </numFmts>
  <fonts count="100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9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color indexed="6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Arial"/>
      <family val="2"/>
    </font>
    <font>
      <b/>
      <sz val="14"/>
      <color rgb="FFFF0000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b/>
      <sz val="13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2"/>
      <color rgb="FF333333"/>
      <name val="Calibri"/>
      <family val="2"/>
      <scheme val="minor"/>
    </font>
    <font>
      <u/>
      <sz val="12"/>
      <color theme="10"/>
      <name val="Arial"/>
      <family val="2"/>
    </font>
    <font>
      <b/>
      <sz val="12"/>
      <color theme="0" tint="-0.499984740745262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b/>
      <sz val="12"/>
      <color indexed="62"/>
      <name val="Calibri"/>
      <family val="2"/>
      <scheme val="minor"/>
    </font>
    <font>
      <b/>
      <sz val="19"/>
      <color theme="0"/>
      <name val="Calibri"/>
      <family val="2"/>
      <scheme val="minor"/>
    </font>
    <font>
      <b/>
      <u/>
      <sz val="12"/>
      <color theme="0" tint="-0.499984740745262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rgb="FFEC6B0A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3"/>
      <name val="Calibri"/>
      <family val="2"/>
      <scheme val="minor"/>
    </font>
    <font>
      <b/>
      <sz val="16"/>
      <name val="Calibri"/>
      <family val="2"/>
      <scheme val="minor"/>
    </font>
    <font>
      <b/>
      <sz val="20"/>
      <color rgb="FFFF000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22"/>
      <name val="Calibri"/>
      <family val="2"/>
      <scheme val="minor"/>
    </font>
    <font>
      <b/>
      <sz val="28"/>
      <color theme="2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b/>
      <sz val="16"/>
      <color theme="7"/>
      <name val="Calibri"/>
      <family val="2"/>
      <scheme val="minor"/>
    </font>
    <font>
      <b/>
      <sz val="16"/>
      <color theme="6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b/>
      <sz val="16"/>
      <color rgb="FFEC6B0A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8"/>
      <name val="Calibri"/>
      <family val="2"/>
      <scheme val="minor"/>
    </font>
    <font>
      <b/>
      <i/>
      <u val="double"/>
      <sz val="18"/>
      <color rgb="FFFF0000"/>
      <name val="Calibri"/>
      <family val="2"/>
      <scheme val="minor"/>
    </font>
    <font>
      <u val="double"/>
      <sz val="18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10"/>
      <color theme="1"/>
      <name val="Segoe UI"/>
      <family val="2"/>
    </font>
    <font>
      <b/>
      <sz val="12"/>
      <color theme="0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C6B0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1EBF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3"/>
        <bgColor indexed="64"/>
      </patternFill>
    </fill>
  </fills>
  <borders count="7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rgb="FFB2B2B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rgb="FFB2B2B2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double">
        <color indexed="62"/>
      </bottom>
      <diagonal/>
    </border>
    <border>
      <left/>
      <right style="thin">
        <color indexed="64"/>
      </right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double">
        <color indexed="62"/>
      </top>
      <bottom style="thin">
        <color indexed="64"/>
      </bottom>
      <diagonal/>
    </border>
    <border>
      <left/>
      <right/>
      <top style="double">
        <color indexed="62"/>
      </top>
      <bottom style="thin">
        <color indexed="64"/>
      </bottom>
      <diagonal/>
    </border>
    <border>
      <left/>
      <right/>
      <top style="thin">
        <color indexed="62"/>
      </top>
      <bottom style="thin">
        <color indexed="64"/>
      </bottom>
      <diagonal/>
    </border>
    <border>
      <left/>
      <right style="thin">
        <color indexed="64"/>
      </right>
      <top style="thin">
        <color indexed="6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/>
      <top/>
      <bottom style="double">
        <color indexed="62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3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42">
    <xf numFmtId="0" fontId="0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5" fillId="0" borderId="0"/>
    <xf numFmtId="0" fontId="15" fillId="23" borderId="7" applyNumberFormat="0" applyFont="0" applyAlignment="0" applyProtection="0"/>
    <xf numFmtId="0" fontId="29" fillId="20" borderId="8" applyNumberFormat="0" applyAlignment="0" applyProtection="0"/>
    <xf numFmtId="0" fontId="30" fillId="0" borderId="0" applyNumberFormat="0" applyFill="0" applyBorder="0" applyAlignment="0" applyProtection="0"/>
    <xf numFmtId="0" fontId="31" fillId="0" borderId="9" applyNumberFormat="0" applyFill="0" applyAlignment="0" applyProtection="0"/>
    <xf numFmtId="0" fontId="32" fillId="0" borderId="0" applyNumberFormat="0" applyFill="0" applyBorder="0" applyAlignment="0" applyProtection="0"/>
    <xf numFmtId="0" fontId="14" fillId="0" borderId="0"/>
    <xf numFmtId="0" fontId="33" fillId="0" borderId="0"/>
    <xf numFmtId="0" fontId="15" fillId="0" borderId="0"/>
    <xf numFmtId="167" fontId="33" fillId="0" borderId="0" applyFont="0" applyFill="0" applyBorder="0" applyAlignment="0" applyProtection="0"/>
    <xf numFmtId="0" fontId="34" fillId="0" borderId="0"/>
    <xf numFmtId="167" fontId="15" fillId="0" borderId="0" applyFont="0" applyFill="0" applyBorder="0" applyAlignment="0" applyProtection="0"/>
    <xf numFmtId="0" fontId="15" fillId="0" borderId="0"/>
    <xf numFmtId="166" fontId="34" fillId="0" borderId="0" applyFont="0" applyFill="0" applyBorder="0" applyAlignment="0" applyProtection="0"/>
    <xf numFmtId="0" fontId="13" fillId="0" borderId="0"/>
    <xf numFmtId="0" fontId="15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166" fontId="46" fillId="0" borderId="0" applyFont="0" applyFill="0" applyBorder="0" applyAlignment="0" applyProtection="0"/>
    <xf numFmtId="9" fontId="46" fillId="0" borderId="0" applyFont="0" applyFill="0" applyBorder="0" applyAlignment="0" applyProtection="0"/>
    <xf numFmtId="167" fontId="46" fillId="0" borderId="0" applyFont="0" applyFill="0" applyBorder="0" applyAlignment="0" applyProtection="0"/>
    <xf numFmtId="0" fontId="15" fillId="23" borderId="13" applyNumberFormat="0" applyFont="0" applyAlignment="0" applyProtection="0"/>
    <xf numFmtId="0" fontId="9" fillId="0" borderId="0"/>
    <xf numFmtId="0" fontId="15" fillId="23" borderId="13" applyNumberFormat="0" applyFont="0" applyAlignment="0" applyProtection="0"/>
    <xf numFmtId="0" fontId="15" fillId="23" borderId="13" applyNumberFormat="0" applyFont="0" applyAlignment="0" applyProtection="0"/>
    <xf numFmtId="0" fontId="15" fillId="23" borderId="13" applyNumberFormat="0" applyFont="0" applyAlignment="0" applyProtection="0"/>
    <xf numFmtId="0" fontId="8" fillId="0" borderId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0" fontId="15" fillId="23" borderId="23" applyNumberFormat="0" applyFont="0" applyAlignment="0" applyProtection="0"/>
    <xf numFmtId="166" fontId="51" fillId="0" borderId="0" applyFont="0" applyFill="0" applyBorder="0" applyAlignment="0" applyProtection="0"/>
    <xf numFmtId="9" fontId="51" fillId="0" borderId="0" applyFont="0" applyFill="0" applyBorder="0" applyAlignment="0" applyProtection="0"/>
    <xf numFmtId="0" fontId="29" fillId="20" borderId="25" applyNumberFormat="0" applyAlignment="0" applyProtection="0"/>
    <xf numFmtId="166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5" fillId="23" borderId="30" applyNumberFormat="0" applyFont="0" applyAlignment="0" applyProtection="0"/>
    <xf numFmtId="0" fontId="15" fillId="23" borderId="30" applyNumberFormat="0" applyFont="0" applyAlignment="0" applyProtection="0"/>
    <xf numFmtId="0" fontId="15" fillId="23" borderId="30" applyNumberFormat="0" applyFont="0" applyAlignment="0" applyProtection="0"/>
    <xf numFmtId="0" fontId="29" fillId="20" borderId="31" applyNumberFormat="0" applyAlignment="0" applyProtection="0"/>
    <xf numFmtId="0" fontId="26" fillId="7" borderId="32" applyNumberFormat="0" applyAlignment="0" applyProtection="0"/>
    <xf numFmtId="0" fontId="29" fillId="20" borderId="31" applyNumberFormat="0" applyAlignment="0" applyProtection="0"/>
    <xf numFmtId="0" fontId="31" fillId="0" borderId="33" applyNumberFormat="0" applyFill="0" applyAlignment="0" applyProtection="0"/>
    <xf numFmtId="0" fontId="15" fillId="23" borderId="35" applyNumberFormat="0" applyFont="0" applyAlignment="0" applyProtection="0"/>
    <xf numFmtId="0" fontId="15" fillId="23" borderId="35" applyNumberFormat="0" applyFont="0" applyAlignment="0" applyProtection="0"/>
    <xf numFmtId="0" fontId="29" fillId="20" borderId="36" applyNumberFormat="0" applyAlignment="0" applyProtection="0"/>
    <xf numFmtId="0" fontId="15" fillId="23" borderId="35" applyNumberFormat="0" applyFont="0" applyAlignment="0" applyProtection="0"/>
    <xf numFmtId="0" fontId="26" fillId="7" borderId="37" applyNumberFormat="0" applyAlignment="0" applyProtection="0"/>
    <xf numFmtId="0" fontId="56" fillId="0" borderId="0" applyNumberFormat="0" applyFill="0" applyBorder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7" fillId="0" borderId="0"/>
    <xf numFmtId="0" fontId="6" fillId="0" borderId="0"/>
    <xf numFmtId="0" fontId="15" fillId="23" borderId="40" applyNumberFormat="0" applyFont="0" applyAlignment="0" applyProtection="0"/>
    <xf numFmtId="0" fontId="5" fillId="0" borderId="0"/>
    <xf numFmtId="0" fontId="26" fillId="7" borderId="37" applyNumberFormat="0" applyAlignment="0" applyProtection="0"/>
    <xf numFmtId="9" fontId="15" fillId="0" borderId="0" applyFont="0" applyFill="0" applyBorder="0" applyAlignment="0" applyProtection="0"/>
    <xf numFmtId="0" fontId="15" fillId="40" borderId="40" applyNumberFormat="0" applyFont="0" applyAlignment="0" applyProtection="0"/>
    <xf numFmtId="0" fontId="15" fillId="40" borderId="40" applyNumberFormat="0" applyFont="0" applyAlignment="0" applyProtection="0"/>
    <xf numFmtId="0" fontId="4" fillId="0" borderId="0"/>
    <xf numFmtId="167" fontId="15" fillId="0" borderId="0" applyFont="0" applyFill="0" applyBorder="0" applyAlignment="0" applyProtection="0"/>
    <xf numFmtId="0" fontId="3" fillId="0" borderId="0"/>
    <xf numFmtId="0" fontId="2" fillId="0" borderId="0"/>
    <xf numFmtId="0" fontId="19" fillId="20" borderId="3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" fillId="0" borderId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166" fontId="15" fillId="0" borderId="0" applyFont="0" applyFill="0" applyBorder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9" fillId="20" borderId="36" applyNumberForma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15" fillId="23" borderId="4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5" fillId="23" borderId="40" applyNumberFormat="0" applyFont="0" applyAlignment="0" applyProtection="0"/>
  </cellStyleXfs>
  <cellXfs count="397">
    <xf numFmtId="0" fontId="0" fillId="0" borderId="0" xfId="0"/>
    <xf numFmtId="0" fontId="35" fillId="0" borderId="0" xfId="0" applyFont="1" applyAlignment="1">
      <alignment vertical="top"/>
    </xf>
    <xf numFmtId="0" fontId="38" fillId="0" borderId="0" xfId="0" applyFont="1" applyAlignment="1">
      <alignment vertical="center"/>
    </xf>
    <xf numFmtId="0" fontId="37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2" fontId="35" fillId="0" borderId="0" xfId="0" applyNumberFormat="1" applyFont="1" applyAlignment="1">
      <alignment horizontal="center" vertical="center" wrapText="1"/>
    </xf>
    <xf numFmtId="2" fontId="35" fillId="0" borderId="0" xfId="0" applyNumberFormat="1" applyFont="1" applyAlignment="1">
      <alignment vertical="center" wrapText="1"/>
    </xf>
    <xf numFmtId="0" fontId="35" fillId="0" borderId="0" xfId="45" applyFont="1" applyAlignment="1">
      <alignment vertical="center"/>
    </xf>
    <xf numFmtId="0" fontId="35" fillId="0" borderId="11" xfId="0" applyFont="1" applyBorder="1" applyAlignment="1">
      <alignment horizontal="center" vertical="center"/>
    </xf>
    <xf numFmtId="9" fontId="35" fillId="0" borderId="11" xfId="62" applyFont="1" applyFill="1" applyBorder="1" applyAlignment="1">
      <alignment horizontal="center" vertical="center"/>
    </xf>
    <xf numFmtId="0" fontId="39" fillId="0" borderId="11" xfId="39" applyFont="1" applyFill="1" applyBorder="1" applyAlignment="1">
      <alignment vertical="center" wrapText="1"/>
    </xf>
    <xf numFmtId="0" fontId="55" fillId="0" borderId="11" xfId="0" applyFont="1" applyBorder="1" applyAlignment="1">
      <alignment vertical="center" wrapText="1"/>
    </xf>
    <xf numFmtId="0" fontId="58" fillId="0" borderId="0" xfId="0" applyFont="1" applyAlignment="1">
      <alignment vertical="top"/>
    </xf>
    <xf numFmtId="170" fontId="35" fillId="0" borderId="0" xfId="45" applyNumberFormat="1" applyFont="1" applyAlignment="1">
      <alignment vertical="center"/>
    </xf>
    <xf numFmtId="9" fontId="35" fillId="0" borderId="0" xfId="62" applyFont="1" applyAlignment="1">
      <alignment vertical="center"/>
    </xf>
    <xf numFmtId="0" fontId="60" fillId="0" borderId="0" xfId="0" applyFont="1"/>
    <xf numFmtId="0" fontId="59" fillId="0" borderId="0" xfId="0" applyFont="1" applyAlignment="1">
      <alignment horizontal="center"/>
    </xf>
    <xf numFmtId="0" fontId="59" fillId="0" borderId="0" xfId="0" applyFont="1"/>
    <xf numFmtId="9" fontId="60" fillId="0" borderId="0" xfId="0" applyNumberFormat="1" applyFont="1"/>
    <xf numFmtId="175" fontId="60" fillId="0" borderId="0" xfId="0" applyNumberFormat="1" applyFont="1"/>
    <xf numFmtId="0" fontId="5" fillId="0" borderId="0" xfId="99"/>
    <xf numFmtId="0" fontId="5" fillId="0" borderId="0" xfId="99" applyAlignment="1">
      <alignment horizontal="center"/>
    </xf>
    <xf numFmtId="166" fontId="60" fillId="0" borderId="0" xfId="61" applyFont="1"/>
    <xf numFmtId="169" fontId="53" fillId="24" borderId="10" xfId="61" applyNumberFormat="1" applyFont="1" applyFill="1" applyBorder="1" applyAlignment="1">
      <alignment horizontal="left" vertical="center" wrapText="1"/>
    </xf>
    <xf numFmtId="169" fontId="53" fillId="24" borderId="16" xfId="61" applyNumberFormat="1" applyFont="1" applyFill="1" applyBorder="1" applyAlignment="1">
      <alignment horizontal="left" vertical="center" wrapText="1"/>
    </xf>
    <xf numFmtId="169" fontId="53" fillId="24" borderId="27" xfId="61" applyNumberFormat="1" applyFont="1" applyFill="1" applyBorder="1" applyAlignment="1">
      <alignment horizontal="left" vertical="center" wrapText="1"/>
    </xf>
    <xf numFmtId="173" fontId="50" fillId="29" borderId="15" xfId="63" applyNumberFormat="1" applyFont="1" applyFill="1" applyBorder="1" applyAlignment="1">
      <alignment horizontal="center" vertical="center"/>
    </xf>
    <xf numFmtId="173" fontId="50" fillId="29" borderId="39" xfId="63" applyNumberFormat="1" applyFont="1" applyFill="1" applyBorder="1" applyAlignment="1">
      <alignment horizontal="center" vertical="center"/>
    </xf>
    <xf numFmtId="173" fontId="50" fillId="29" borderId="39" xfId="63" applyNumberFormat="1" applyFont="1" applyFill="1" applyBorder="1" applyAlignment="1">
      <alignment horizontal="left" vertical="center"/>
    </xf>
    <xf numFmtId="176" fontId="54" fillId="29" borderId="0" xfId="62" applyNumberFormat="1" applyFont="1" applyFill="1" applyBorder="1" applyAlignment="1">
      <alignment horizontal="center" vertical="center"/>
    </xf>
    <xf numFmtId="9" fontId="54" fillId="29" borderId="0" xfId="62" applyFont="1" applyFill="1" applyBorder="1" applyAlignment="1">
      <alignment horizontal="center" vertical="center"/>
    </xf>
    <xf numFmtId="2" fontId="42" fillId="29" borderId="26" xfId="0" applyNumberFormat="1" applyFont="1" applyFill="1" applyBorder="1" applyAlignment="1">
      <alignment horizontal="right" vertical="center"/>
    </xf>
    <xf numFmtId="175" fontId="54" fillId="29" borderId="26" xfId="62" applyNumberFormat="1" applyFont="1" applyFill="1" applyBorder="1" applyAlignment="1">
      <alignment horizontal="center" vertical="center"/>
    </xf>
    <xf numFmtId="2" fontId="35" fillId="29" borderId="43" xfId="0" applyNumberFormat="1" applyFont="1" applyFill="1" applyBorder="1" applyAlignment="1">
      <alignment horizontal="center" vertical="center" wrapText="1"/>
    </xf>
    <xf numFmtId="0" fontId="40" fillId="29" borderId="44" xfId="34" applyFont="1" applyFill="1" applyBorder="1" applyAlignment="1" applyProtection="1">
      <alignment horizontal="right"/>
    </xf>
    <xf numFmtId="9" fontId="47" fillId="29" borderId="45" xfId="62" applyFont="1" applyFill="1" applyBorder="1" applyAlignment="1">
      <alignment horizontal="center" vertical="center"/>
    </xf>
    <xf numFmtId="2" fontId="35" fillId="29" borderId="16" xfId="0" applyNumberFormat="1" applyFont="1" applyFill="1" applyBorder="1" applyAlignment="1">
      <alignment horizontal="center" vertical="center" wrapText="1"/>
    </xf>
    <xf numFmtId="0" fontId="40" fillId="29" borderId="15" xfId="34" applyFont="1" applyFill="1" applyBorder="1" applyAlignment="1" applyProtection="1">
      <alignment horizontal="right"/>
    </xf>
    <xf numFmtId="9" fontId="47" fillId="29" borderId="34" xfId="62" applyFont="1" applyFill="1" applyBorder="1" applyAlignment="1">
      <alignment horizontal="center" vertical="center"/>
    </xf>
    <xf numFmtId="0" fontId="64" fillId="0" borderId="0" xfId="0" applyFont="1"/>
    <xf numFmtId="0" fontId="69" fillId="24" borderId="22" xfId="41" applyFont="1" applyFill="1" applyBorder="1" applyAlignment="1">
      <alignment horizontal="center" vertical="center"/>
    </xf>
    <xf numFmtId="168" fontId="69" fillId="24" borderId="22" xfId="41" applyNumberFormat="1" applyFont="1" applyFill="1" applyBorder="1" applyAlignment="1" applyProtection="1">
      <alignment horizontal="center" vertical="center"/>
    </xf>
    <xf numFmtId="0" fontId="69" fillId="24" borderId="33" xfId="41" applyFont="1" applyFill="1" applyBorder="1" applyAlignment="1">
      <alignment horizontal="center" vertical="center"/>
    </xf>
    <xf numFmtId="168" fontId="69" fillId="24" borderId="33" xfId="41" applyNumberFormat="1" applyFont="1" applyFill="1" applyBorder="1" applyAlignment="1" applyProtection="1">
      <alignment horizontal="center" vertical="center"/>
    </xf>
    <xf numFmtId="175" fontId="69" fillId="0" borderId="33" xfId="41" applyNumberFormat="1" applyFont="1" applyFill="1" applyBorder="1" applyAlignment="1">
      <alignment horizontal="center" vertical="center"/>
    </xf>
    <xf numFmtId="169" fontId="69" fillId="24" borderId="33" xfId="41" applyNumberFormat="1" applyFont="1" applyFill="1" applyBorder="1" applyAlignment="1">
      <alignment horizontal="left" vertical="center"/>
    </xf>
    <xf numFmtId="0" fontId="69" fillId="24" borderId="17" xfId="41" applyFont="1" applyFill="1" applyBorder="1" applyAlignment="1">
      <alignment vertical="center"/>
    </xf>
    <xf numFmtId="9" fontId="69" fillId="0" borderId="33" xfId="41" applyNumberFormat="1" applyFont="1" applyFill="1" applyBorder="1" applyAlignment="1">
      <alignment horizontal="center" vertical="center"/>
    </xf>
    <xf numFmtId="0" fontId="40" fillId="30" borderId="11" xfId="0" applyFont="1" applyFill="1" applyBorder="1" applyAlignment="1">
      <alignment horizontal="center" vertical="center" wrapText="1"/>
    </xf>
    <xf numFmtId="1" fontId="35" fillId="33" borderId="41" xfId="38" applyNumberFormat="1" applyFont="1" applyFill="1" applyBorder="1" applyAlignment="1">
      <alignment horizontal="center" vertical="center"/>
    </xf>
    <xf numFmtId="173" fontId="35" fillId="34" borderId="40" xfId="63" applyNumberFormat="1" applyFont="1" applyFill="1" applyBorder="1" applyAlignment="1">
      <alignment horizontal="center" vertical="center"/>
    </xf>
    <xf numFmtId="9" fontId="35" fillId="34" borderId="40" xfId="62" applyFont="1" applyFill="1" applyBorder="1" applyAlignment="1">
      <alignment horizontal="right" vertical="center"/>
    </xf>
    <xf numFmtId="173" fontId="35" fillId="34" borderId="40" xfId="63" applyNumberFormat="1" applyFont="1" applyFill="1" applyBorder="1" applyAlignment="1">
      <alignment horizontal="right" vertical="center"/>
    </xf>
    <xf numFmtId="173" fontId="36" fillId="34" borderId="11" xfId="63" applyNumberFormat="1" applyFont="1" applyFill="1" applyBorder="1" applyAlignment="1">
      <alignment horizontal="center" vertical="center" wrapText="1"/>
    </xf>
    <xf numFmtId="0" fontId="36" fillId="33" borderId="11" xfId="38" applyNumberFormat="1" applyFont="1" applyFill="1" applyBorder="1" applyAlignment="1">
      <alignment horizontal="center" vertical="center" wrapText="1"/>
    </xf>
    <xf numFmtId="0" fontId="35" fillId="34" borderId="40" xfId="64" applyFont="1" applyFill="1" applyBorder="1" applyAlignment="1">
      <alignment horizontal="center" vertical="center"/>
    </xf>
    <xf numFmtId="0" fontId="35" fillId="34" borderId="40" xfId="38" applyFont="1" applyFill="1" applyBorder="1" applyAlignment="1">
      <alignment horizontal="center" vertical="center"/>
    </xf>
    <xf numFmtId="171" fontId="35" fillId="34" borderId="40" xfId="38" applyNumberFormat="1" applyFont="1" applyFill="1" applyBorder="1" applyAlignment="1">
      <alignment horizontal="right" vertical="center"/>
    </xf>
    <xf numFmtId="171" fontId="35" fillId="34" borderId="40" xfId="38" applyNumberFormat="1" applyFont="1" applyFill="1" applyBorder="1" applyAlignment="1">
      <alignment vertical="center"/>
    </xf>
    <xf numFmtId="167" fontId="35" fillId="34" borderId="40" xfId="38" applyNumberFormat="1" applyFont="1" applyFill="1" applyBorder="1" applyAlignment="1">
      <alignment horizontal="center" vertical="center"/>
    </xf>
    <xf numFmtId="171" fontId="35" fillId="33" borderId="40" xfId="38" applyNumberFormat="1" applyFont="1" applyFill="1" applyBorder="1" applyAlignment="1">
      <alignment horizontal="right" vertical="center"/>
    </xf>
    <xf numFmtId="170" fontId="35" fillId="37" borderId="40" xfId="38" applyNumberFormat="1" applyFont="1" applyFill="1" applyBorder="1" applyAlignment="1" applyProtection="1">
      <alignment horizontal="left" vertical="center"/>
    </xf>
    <xf numFmtId="1" fontId="35" fillId="33" borderId="49" xfId="38" applyNumberFormat="1" applyFont="1" applyFill="1" applyBorder="1" applyAlignment="1">
      <alignment horizontal="center" vertical="center"/>
    </xf>
    <xf numFmtId="177" fontId="70" fillId="32" borderId="11" xfId="38" applyNumberFormat="1" applyFont="1" applyFill="1" applyBorder="1" applyAlignment="1">
      <alignment vertical="center"/>
    </xf>
    <xf numFmtId="166" fontId="35" fillId="37" borderId="11" xfId="61" applyFont="1" applyFill="1" applyBorder="1" applyAlignment="1" applyProtection="1">
      <alignment horizontal="left" vertical="center"/>
    </xf>
    <xf numFmtId="177" fontId="70" fillId="32" borderId="11" xfId="38" applyNumberFormat="1" applyFont="1" applyFill="1" applyBorder="1" applyAlignment="1">
      <alignment horizontal="center" vertical="center"/>
    </xf>
    <xf numFmtId="0" fontId="35" fillId="0" borderId="11" xfId="0" applyFont="1" applyBorder="1" applyAlignment="1">
      <alignment horizontal="left" vertical="center"/>
    </xf>
    <xf numFmtId="178" fontId="60" fillId="0" borderId="0" xfId="0" applyNumberFormat="1" applyFont="1"/>
    <xf numFmtId="175" fontId="69" fillId="0" borderId="22" xfId="41" applyNumberFormat="1" applyFont="1" applyFill="1" applyBorder="1" applyAlignment="1">
      <alignment horizontal="center" vertical="center"/>
    </xf>
    <xf numFmtId="169" fontId="69" fillId="24" borderId="22" xfId="41" applyNumberFormat="1" applyFont="1" applyFill="1" applyBorder="1" applyAlignment="1">
      <alignment horizontal="left" vertical="center"/>
    </xf>
    <xf numFmtId="0" fontId="67" fillId="29" borderId="11" xfId="0" applyFont="1" applyFill="1" applyBorder="1" applyAlignment="1">
      <alignment horizontal="right"/>
    </xf>
    <xf numFmtId="169" fontId="35" fillId="0" borderId="11" xfId="78" applyNumberFormat="1" applyFont="1" applyBorder="1" applyAlignment="1">
      <alignment vertical="top" wrapText="1"/>
    </xf>
    <xf numFmtId="0" fontId="35" fillId="0" borderId="0" xfId="0" applyFont="1"/>
    <xf numFmtId="0" fontId="74" fillId="0" borderId="0" xfId="0" applyFont="1"/>
    <xf numFmtId="0" fontId="79" fillId="0" borderId="0" xfId="0" applyFont="1"/>
    <xf numFmtId="167" fontId="57" fillId="0" borderId="0" xfId="63" applyFont="1" applyBorder="1" applyAlignment="1"/>
    <xf numFmtId="167" fontId="58" fillId="0" borderId="0" xfId="63" applyFont="1" applyBorder="1" applyAlignment="1"/>
    <xf numFmtId="0" fontId="87" fillId="0" borderId="0" xfId="0" applyFont="1"/>
    <xf numFmtId="173" fontId="57" fillId="0" borderId="0" xfId="63" applyNumberFormat="1" applyFont="1" applyBorder="1"/>
    <xf numFmtId="0" fontId="35" fillId="24" borderId="10" xfId="0" applyFont="1" applyFill="1" applyBorder="1" applyAlignment="1">
      <alignment vertical="top"/>
    </xf>
    <xf numFmtId="2" fontId="36" fillId="24" borderId="12" xfId="0" applyNumberFormat="1" applyFont="1" applyFill="1" applyBorder="1" applyAlignment="1">
      <alignment vertical="center" wrapText="1"/>
    </xf>
    <xf numFmtId="2" fontId="35" fillId="24" borderId="12" xfId="0" applyNumberFormat="1" applyFont="1" applyFill="1" applyBorder="1" applyAlignment="1">
      <alignment vertical="center" wrapText="1"/>
    </xf>
    <xf numFmtId="172" fontId="67" fillId="29" borderId="11" xfId="0" applyNumberFormat="1" applyFont="1" applyFill="1" applyBorder="1"/>
    <xf numFmtId="0" fontId="68" fillId="0" borderId="0" xfId="0" applyFont="1" applyAlignment="1">
      <alignment vertical="top"/>
    </xf>
    <xf numFmtId="0" fontId="74" fillId="24" borderId="10" xfId="0" applyFont="1" applyFill="1" applyBorder="1" applyAlignment="1">
      <alignment vertical="center" wrapText="1"/>
    </xf>
    <xf numFmtId="169" fontId="50" fillId="24" borderId="0" xfId="61" applyNumberFormat="1" applyFont="1" applyFill="1" applyBorder="1" applyAlignment="1">
      <alignment horizontal="justify" vertical="center" wrapText="1"/>
    </xf>
    <xf numFmtId="0" fontId="68" fillId="24" borderId="10" xfId="0" applyFont="1" applyFill="1" applyBorder="1" applyAlignment="1">
      <alignment vertical="top"/>
    </xf>
    <xf numFmtId="169" fontId="49" fillId="24" borderId="0" xfId="75" applyNumberFormat="1" applyFont="1" applyFill="1" applyBorder="1" applyAlignment="1">
      <alignment vertical="center"/>
    </xf>
    <xf numFmtId="169" fontId="89" fillId="24" borderId="0" xfId="75" applyNumberFormat="1" applyFont="1" applyFill="1" applyBorder="1" applyAlignment="1">
      <alignment vertical="center"/>
    </xf>
    <xf numFmtId="169" fontId="91" fillId="24" borderId="0" xfId="75" applyNumberFormat="1" applyFont="1" applyFill="1" applyBorder="1" applyAlignment="1">
      <alignment horizontal="left" vertical="center"/>
    </xf>
    <xf numFmtId="0" fontId="35" fillId="24" borderId="10" xfId="0" applyFont="1" applyFill="1" applyBorder="1" applyAlignment="1">
      <alignment horizontal="center" vertical="center"/>
    </xf>
    <xf numFmtId="0" fontId="35" fillId="0" borderId="10" xfId="0" applyFont="1" applyBorder="1" applyAlignment="1">
      <alignment vertical="top"/>
    </xf>
    <xf numFmtId="0" fontId="35" fillId="24" borderId="16" xfId="0" applyFont="1" applyFill="1" applyBorder="1" applyAlignment="1">
      <alignment vertical="top"/>
    </xf>
    <xf numFmtId="0" fontId="35" fillId="24" borderId="15" xfId="0" applyFont="1" applyFill="1" applyBorder="1" applyAlignment="1">
      <alignment horizontal="center" vertical="center"/>
    </xf>
    <xf numFmtId="2" fontId="35" fillId="24" borderId="15" xfId="0" applyNumberFormat="1" applyFont="1" applyFill="1" applyBorder="1" applyAlignment="1">
      <alignment vertical="top" wrapText="1"/>
    </xf>
    <xf numFmtId="2" fontId="35" fillId="24" borderId="15" xfId="0" applyNumberFormat="1" applyFont="1" applyFill="1" applyBorder="1" applyAlignment="1">
      <alignment horizontal="center" vertical="center" wrapText="1"/>
    </xf>
    <xf numFmtId="2" fontId="35" fillId="24" borderId="15" xfId="0" applyNumberFormat="1" applyFont="1" applyFill="1" applyBorder="1" applyAlignment="1">
      <alignment vertical="center" wrapText="1"/>
    </xf>
    <xf numFmtId="2" fontId="35" fillId="24" borderId="34" xfId="0" applyNumberFormat="1" applyFont="1" applyFill="1" applyBorder="1" applyAlignment="1">
      <alignment vertical="center" wrapText="1"/>
    </xf>
    <xf numFmtId="2" fontId="35" fillId="0" borderId="0" xfId="0" applyNumberFormat="1" applyFont="1" applyAlignment="1">
      <alignment vertical="top" wrapText="1"/>
    </xf>
    <xf numFmtId="168" fontId="35" fillId="0" borderId="0" xfId="0" applyNumberFormat="1" applyFont="1" applyAlignment="1">
      <alignment vertical="center"/>
    </xf>
    <xf numFmtId="0" fontId="95" fillId="36" borderId="11" xfId="0" applyFont="1" applyFill="1" applyBorder="1" applyAlignment="1">
      <alignment horizontal="center" vertical="center" wrapText="1"/>
    </xf>
    <xf numFmtId="0" fontId="96" fillId="36" borderId="47" xfId="0" applyFont="1" applyFill="1" applyBorder="1" applyAlignment="1">
      <alignment horizontal="center" vertical="center"/>
    </xf>
    <xf numFmtId="0" fontId="44" fillId="36" borderId="50" xfId="0" applyFont="1" applyFill="1" applyBorder="1" applyAlignment="1">
      <alignment horizontal="center" vertical="center"/>
    </xf>
    <xf numFmtId="173" fontId="35" fillId="34" borderId="40" xfId="48" applyNumberFormat="1" applyFont="1" applyFill="1" applyBorder="1" applyAlignment="1">
      <alignment horizontal="center" vertical="center"/>
    </xf>
    <xf numFmtId="1" fontId="35" fillId="33" borderId="41" xfId="93" applyNumberFormat="1" applyFont="1" applyFill="1" applyBorder="1" applyAlignment="1">
      <alignment horizontal="center" vertical="center"/>
    </xf>
    <xf numFmtId="9" fontId="35" fillId="34" borderId="40" xfId="101" applyFont="1" applyFill="1" applyBorder="1" applyAlignment="1">
      <alignment horizontal="right" vertical="center"/>
    </xf>
    <xf numFmtId="173" fontId="35" fillId="34" borderId="40" xfId="48" applyNumberFormat="1" applyFont="1" applyFill="1" applyBorder="1" applyAlignment="1">
      <alignment horizontal="right" vertical="center"/>
    </xf>
    <xf numFmtId="171" fontId="35" fillId="33" borderId="40" xfId="93" applyNumberFormat="1" applyFont="1" applyFill="1" applyAlignment="1">
      <alignment horizontal="right" vertical="center"/>
    </xf>
    <xf numFmtId="1" fontId="35" fillId="33" borderId="49" xfId="93" applyNumberFormat="1" applyFont="1" applyFill="1" applyBorder="1" applyAlignment="1">
      <alignment horizontal="center" vertical="center"/>
    </xf>
    <xf numFmtId="14" fontId="66" fillId="29" borderId="44" xfId="0" applyNumberFormat="1" applyFont="1" applyFill="1" applyBorder="1" applyAlignment="1">
      <alignment horizontal="left"/>
    </xf>
    <xf numFmtId="1" fontId="35" fillId="24" borderId="41" xfId="93" applyNumberFormat="1" applyFont="1" applyFill="1" applyBorder="1" applyAlignment="1">
      <alignment horizontal="center" vertical="center"/>
    </xf>
    <xf numFmtId="1" fontId="69" fillId="24" borderId="22" xfId="41" applyNumberFormat="1" applyFont="1" applyFill="1" applyBorder="1" applyAlignment="1">
      <alignment horizontal="left" vertical="center"/>
    </xf>
    <xf numFmtId="1" fontId="69" fillId="24" borderId="33" xfId="41" applyNumberFormat="1" applyFont="1" applyFill="1" applyBorder="1" applyAlignment="1">
      <alignment horizontal="left" vertical="center"/>
    </xf>
    <xf numFmtId="1" fontId="35" fillId="0" borderId="0" xfId="0" applyNumberFormat="1" applyFont="1" applyAlignment="1">
      <alignment horizontal="center" vertical="center"/>
    </xf>
    <xf numFmtId="0" fontId="98" fillId="36" borderId="47" xfId="0" applyFont="1" applyFill="1" applyBorder="1" applyAlignment="1">
      <alignment horizontal="center" vertical="center"/>
    </xf>
    <xf numFmtId="0" fontId="44" fillId="36" borderId="53" xfId="0" applyFont="1" applyFill="1" applyBorder="1" applyAlignment="1">
      <alignment horizontal="center" vertical="center"/>
    </xf>
    <xf numFmtId="165" fontId="35" fillId="0" borderId="12" xfId="45" applyNumberFormat="1" applyFont="1" applyBorder="1" applyAlignment="1">
      <alignment vertical="center"/>
    </xf>
    <xf numFmtId="1" fontId="35" fillId="33" borderId="55" xfId="93" applyNumberFormat="1" applyFont="1" applyFill="1" applyBorder="1" applyAlignment="1">
      <alignment horizontal="center" vertical="center"/>
    </xf>
    <xf numFmtId="0" fontId="50" fillId="29" borderId="39" xfId="63" applyNumberFormat="1" applyFont="1" applyFill="1" applyBorder="1" applyAlignment="1">
      <alignment horizontal="center" vertical="center"/>
    </xf>
    <xf numFmtId="2" fontId="35" fillId="24" borderId="0" xfId="0" applyNumberFormat="1" applyFont="1" applyFill="1" applyAlignment="1">
      <alignment vertical="center" wrapText="1"/>
    </xf>
    <xf numFmtId="0" fontId="35" fillId="24" borderId="0" xfId="0" applyFont="1" applyFill="1" applyAlignment="1">
      <alignment vertical="top"/>
    </xf>
    <xf numFmtId="2" fontId="35" fillId="24" borderId="0" xfId="0" applyNumberFormat="1" applyFont="1" applyFill="1" applyAlignment="1">
      <alignment horizontal="center" vertical="center" wrapText="1"/>
    </xf>
    <xf numFmtId="166" fontId="42" fillId="27" borderId="11" xfId="78" applyFont="1" applyFill="1" applyBorder="1" applyAlignment="1">
      <alignment horizontal="center" vertical="center" wrapText="1"/>
    </xf>
    <xf numFmtId="169" fontId="42" fillId="25" borderId="11" xfId="78" applyNumberFormat="1" applyFont="1" applyFill="1" applyBorder="1" applyAlignment="1">
      <alignment horizontal="center" vertical="center" wrapText="1"/>
    </xf>
    <xf numFmtId="166" fontId="36" fillId="27" borderId="11" xfId="78" applyFont="1" applyFill="1" applyBorder="1" applyAlignment="1">
      <alignment vertical="center" wrapText="1"/>
    </xf>
    <xf numFmtId="169" fontId="36" fillId="25" borderId="11" xfId="78" applyNumberFormat="1" applyFont="1" applyFill="1" applyBorder="1" applyAlignment="1">
      <alignment vertical="center" wrapText="1"/>
    </xf>
    <xf numFmtId="166" fontId="57" fillId="27" borderId="11" xfId="78" applyFont="1" applyFill="1" applyBorder="1" applyAlignment="1">
      <alignment horizontal="right" vertical="center" wrapText="1"/>
    </xf>
    <xf numFmtId="175" fontId="57" fillId="25" borderId="11" xfId="62" applyNumberFormat="1" applyFont="1" applyFill="1" applyBorder="1" applyAlignment="1">
      <alignment horizontal="left" vertical="center" wrapText="1"/>
    </xf>
    <xf numFmtId="175" fontId="57" fillId="25" borderId="11" xfId="79" applyNumberFormat="1" applyFont="1" applyFill="1" applyBorder="1" applyAlignment="1">
      <alignment horizontal="left" vertical="center" wrapText="1"/>
    </xf>
    <xf numFmtId="166" fontId="36" fillId="27" borderId="11" xfId="78" applyFont="1" applyFill="1" applyBorder="1" applyAlignment="1">
      <alignment vertical="center"/>
    </xf>
    <xf numFmtId="169" fontId="36" fillId="25" borderId="11" xfId="78" applyNumberFormat="1" applyFont="1" applyFill="1" applyBorder="1" applyAlignment="1">
      <alignment vertical="center"/>
    </xf>
    <xf numFmtId="0" fontId="35" fillId="0" borderId="11" xfId="0" applyFont="1" applyBorder="1" applyAlignment="1">
      <alignment vertical="top"/>
    </xf>
    <xf numFmtId="169" fontId="36" fillId="25" borderId="11" xfId="78" applyNumberFormat="1" applyFont="1" applyFill="1" applyBorder="1" applyAlignment="1">
      <alignment vertical="top"/>
    </xf>
    <xf numFmtId="14" fontId="66" fillId="24" borderId="0" xfId="0" applyNumberFormat="1" applyFont="1" applyFill="1" applyAlignment="1">
      <alignment horizontal="left" vertical="center"/>
    </xf>
    <xf numFmtId="0" fontId="35" fillId="24" borderId="12" xfId="0" applyFont="1" applyFill="1" applyBorder="1" applyAlignment="1">
      <alignment vertical="top"/>
    </xf>
    <xf numFmtId="2" fontId="53" fillId="29" borderId="0" xfId="0" applyNumberFormat="1" applyFont="1" applyFill="1" applyAlignment="1">
      <alignment horizontal="right" vertical="center"/>
    </xf>
    <xf numFmtId="2" fontId="35" fillId="29" borderId="0" xfId="0" applyNumberFormat="1" applyFont="1" applyFill="1" applyAlignment="1">
      <alignment horizontal="center" vertical="center" wrapText="1"/>
    </xf>
    <xf numFmtId="0" fontId="67" fillId="29" borderId="0" xfId="0" applyFont="1" applyFill="1" applyAlignment="1">
      <alignment horizontal="right"/>
    </xf>
    <xf numFmtId="172" fontId="66" fillId="29" borderId="0" xfId="0" applyNumberFormat="1" applyFont="1" applyFill="1"/>
    <xf numFmtId="0" fontId="35" fillId="29" borderId="0" xfId="0" applyFont="1" applyFill="1" applyAlignment="1">
      <alignment horizontal="center" vertical="center"/>
    </xf>
    <xf numFmtId="2" fontId="35" fillId="29" borderId="0" xfId="0" applyNumberFormat="1" applyFont="1" applyFill="1" applyAlignment="1">
      <alignment vertical="center" wrapText="1"/>
    </xf>
    <xf numFmtId="172" fontId="66" fillId="29" borderId="0" xfId="0" applyNumberFormat="1" applyFont="1" applyFill="1" applyAlignment="1">
      <alignment horizontal="left"/>
    </xf>
    <xf numFmtId="172" fontId="49" fillId="29" borderId="0" xfId="0" applyNumberFormat="1" applyFont="1" applyFill="1"/>
    <xf numFmtId="2" fontId="50" fillId="29" borderId="0" xfId="0" applyNumberFormat="1" applyFont="1" applyFill="1" applyAlignment="1">
      <alignment horizontal="right"/>
    </xf>
    <xf numFmtId="0" fontId="50" fillId="29" borderId="0" xfId="0" applyFont="1" applyFill="1" applyAlignment="1">
      <alignment horizontal="right"/>
    </xf>
    <xf numFmtId="2" fontId="36" fillId="24" borderId="0" xfId="0" applyNumberFormat="1" applyFont="1" applyFill="1" applyAlignment="1">
      <alignment vertical="center"/>
    </xf>
    <xf numFmtId="0" fontId="67" fillId="24" borderId="0" xfId="0" applyFont="1" applyFill="1" applyAlignment="1">
      <alignment horizontal="center" vertical="center"/>
    </xf>
    <xf numFmtId="0" fontId="35" fillId="24" borderId="0" xfId="0" applyFont="1" applyFill="1" applyAlignment="1">
      <alignment horizontal="center" vertical="center"/>
    </xf>
    <xf numFmtId="2" fontId="35" fillId="24" borderId="12" xfId="0" applyNumberFormat="1" applyFont="1" applyFill="1" applyBorder="1" applyAlignment="1">
      <alignment horizontal="center" vertical="center" wrapText="1"/>
    </xf>
    <xf numFmtId="1" fontId="35" fillId="0" borderId="41" xfId="38" applyNumberFormat="1" applyFont="1" applyFill="1" applyBorder="1" applyAlignment="1">
      <alignment horizontal="center" vertical="center"/>
    </xf>
    <xf numFmtId="174" fontId="35" fillId="34" borderId="40" xfId="94" applyNumberFormat="1" applyFont="1" applyFill="1" applyAlignment="1">
      <alignment horizontal="center" vertical="center"/>
    </xf>
    <xf numFmtId="167" fontId="35" fillId="34" borderId="40" xfId="93" applyNumberFormat="1" applyFont="1" applyFill="1" applyAlignment="1">
      <alignment horizontal="center" vertical="center"/>
    </xf>
    <xf numFmtId="171" fontId="35" fillId="34" borderId="40" xfId="93" applyNumberFormat="1" applyFont="1" applyFill="1" applyAlignment="1">
      <alignment horizontal="right" vertical="center"/>
    </xf>
    <xf numFmtId="170" fontId="35" fillId="37" borderId="40" xfId="93" applyNumberFormat="1" applyFont="1" applyFill="1" applyAlignment="1" applyProtection="1">
      <alignment horizontal="left" vertical="center"/>
    </xf>
    <xf numFmtId="169" fontId="69" fillId="24" borderId="62" xfId="41" applyNumberFormat="1" applyFont="1" applyFill="1" applyBorder="1" applyAlignment="1">
      <alignment vertical="center"/>
    </xf>
    <xf numFmtId="0" fontId="69" fillId="24" borderId="61" xfId="41" applyFont="1" applyFill="1" applyBorder="1" applyAlignment="1">
      <alignment vertical="center"/>
    </xf>
    <xf numFmtId="169" fontId="69" fillId="24" borderId="63" xfId="41" applyNumberFormat="1" applyFont="1" applyFill="1" applyBorder="1" applyAlignment="1">
      <alignment vertical="center"/>
    </xf>
    <xf numFmtId="0" fontId="69" fillId="24" borderId="66" xfId="41" applyFont="1" applyFill="1" applyBorder="1" applyAlignment="1">
      <alignment horizontal="center" vertical="center"/>
    </xf>
    <xf numFmtId="1" fontId="69" fillId="24" borderId="66" xfId="41" applyNumberFormat="1" applyFont="1" applyFill="1" applyBorder="1" applyAlignment="1">
      <alignment horizontal="left" vertical="center"/>
    </xf>
    <xf numFmtId="168" fontId="69" fillId="24" borderId="66" xfId="41" applyNumberFormat="1" applyFont="1" applyFill="1" applyBorder="1" applyAlignment="1" applyProtection="1">
      <alignment horizontal="center" vertical="center"/>
    </xf>
    <xf numFmtId="0" fontId="69" fillId="24" borderId="66" xfId="41" applyFont="1" applyFill="1" applyBorder="1" applyAlignment="1">
      <alignment vertical="center"/>
    </xf>
    <xf numFmtId="170" fontId="69" fillId="24" borderId="66" xfId="41" applyNumberFormat="1" applyFont="1" applyFill="1" applyBorder="1" applyAlignment="1">
      <alignment horizontal="left" vertical="center"/>
    </xf>
    <xf numFmtId="164" fontId="69" fillId="0" borderId="67" xfId="41" applyNumberFormat="1" applyFont="1" applyFill="1" applyBorder="1" applyAlignment="1">
      <alignment vertical="center"/>
    </xf>
    <xf numFmtId="165" fontId="35" fillId="0" borderId="59" xfId="45" applyNumberFormat="1" applyFont="1" applyBorder="1" applyAlignment="1">
      <alignment vertical="center"/>
    </xf>
    <xf numFmtId="165" fontId="35" fillId="0" borderId="60" xfId="45" applyNumberFormat="1" applyFont="1" applyBorder="1" applyAlignment="1">
      <alignment vertical="center"/>
    </xf>
    <xf numFmtId="2" fontId="53" fillId="29" borderId="44" xfId="0" applyNumberFormat="1" applyFont="1" applyFill="1" applyBorder="1" applyAlignment="1">
      <alignment horizontal="right"/>
    </xf>
    <xf numFmtId="2" fontId="43" fillId="29" borderId="44" xfId="0" applyNumberFormat="1" applyFont="1" applyFill="1" applyBorder="1" applyAlignment="1">
      <alignment horizontal="right" vertical="center"/>
    </xf>
    <xf numFmtId="169" fontId="53" fillId="24" borderId="43" xfId="61" applyNumberFormat="1" applyFont="1" applyFill="1" applyBorder="1" applyAlignment="1">
      <alignment horizontal="left" vertical="center" wrapText="1"/>
    </xf>
    <xf numFmtId="2" fontId="35" fillId="29" borderId="10" xfId="0" applyNumberFormat="1" applyFont="1" applyFill="1" applyBorder="1" applyAlignment="1">
      <alignment horizontal="center" vertical="center" wrapText="1"/>
    </xf>
    <xf numFmtId="0" fontId="36" fillId="29" borderId="15" xfId="0" applyFont="1" applyFill="1" applyBorder="1" applyAlignment="1">
      <alignment horizontal="center" vertical="center"/>
    </xf>
    <xf numFmtId="2" fontId="48" fillId="29" borderId="15" xfId="0" applyNumberFormat="1" applyFont="1" applyFill="1" applyBorder="1" applyAlignment="1">
      <alignment horizontal="right" vertical="center"/>
    </xf>
    <xf numFmtId="169" fontId="43" fillId="24" borderId="16" xfId="61" applyNumberFormat="1" applyFont="1" applyFill="1" applyBorder="1" applyAlignment="1">
      <alignment horizontal="left" vertical="center" wrapText="1"/>
    </xf>
    <xf numFmtId="2" fontId="36" fillId="24" borderId="44" xfId="0" applyNumberFormat="1" applyFont="1" applyFill="1" applyBorder="1" applyAlignment="1">
      <alignment horizontal="left" vertical="center"/>
    </xf>
    <xf numFmtId="0" fontId="41" fillId="24" borderId="16" xfId="0" applyFont="1" applyFill="1" applyBorder="1" applyAlignment="1">
      <alignment horizontal="left" vertical="center"/>
    </xf>
    <xf numFmtId="0" fontId="41" fillId="24" borderId="15" xfId="0" applyFont="1" applyFill="1" applyBorder="1" applyAlignment="1">
      <alignment horizontal="left" vertical="center"/>
    </xf>
    <xf numFmtId="0" fontId="41" fillId="24" borderId="15" xfId="0" applyFont="1" applyFill="1" applyBorder="1" applyAlignment="1">
      <alignment horizontal="center" vertical="center"/>
    </xf>
    <xf numFmtId="0" fontId="68" fillId="29" borderId="56" xfId="0" applyFont="1" applyFill="1" applyBorder="1"/>
    <xf numFmtId="0" fontId="67" fillId="29" borderId="39" xfId="0" applyFont="1" applyFill="1" applyBorder="1" applyAlignment="1">
      <alignment horizontal="center" vertical="center"/>
    </xf>
    <xf numFmtId="0" fontId="35" fillId="29" borderId="39" xfId="0" applyFont="1" applyFill="1" applyBorder="1" applyAlignment="1">
      <alignment horizontal="center" vertical="center"/>
    </xf>
    <xf numFmtId="2" fontId="35" fillId="29" borderId="44" xfId="0" applyNumberFormat="1" applyFont="1" applyFill="1" applyBorder="1" applyAlignment="1">
      <alignment horizontal="center" vertical="center" wrapText="1"/>
    </xf>
    <xf numFmtId="0" fontId="67" fillId="29" borderId="44" xfId="0" applyFont="1" applyFill="1" applyBorder="1" applyAlignment="1">
      <alignment horizontal="right"/>
    </xf>
    <xf numFmtId="0" fontId="35" fillId="29" borderId="44" xfId="0" applyFont="1" applyFill="1" applyBorder="1" applyAlignment="1">
      <alignment horizontal="center" vertical="center"/>
    </xf>
    <xf numFmtId="2" fontId="35" fillId="29" borderId="44" xfId="0" applyNumberFormat="1" applyFont="1" applyFill="1" applyBorder="1" applyAlignment="1">
      <alignment vertical="center" wrapText="1"/>
    </xf>
    <xf numFmtId="2" fontId="35" fillId="29" borderId="45" xfId="0" applyNumberFormat="1" applyFont="1" applyFill="1" applyBorder="1" applyAlignment="1">
      <alignment vertical="center" wrapText="1"/>
    </xf>
    <xf numFmtId="2" fontId="35" fillId="29" borderId="12" xfId="0" applyNumberFormat="1" applyFont="1" applyFill="1" applyBorder="1" applyAlignment="1">
      <alignment vertical="center" wrapText="1"/>
    </xf>
    <xf numFmtId="2" fontId="35" fillId="29" borderId="15" xfId="0" applyNumberFormat="1" applyFont="1" applyFill="1" applyBorder="1" applyAlignment="1">
      <alignment horizontal="center" vertical="center" wrapText="1"/>
    </xf>
    <xf numFmtId="2" fontId="50" fillId="29" borderId="15" xfId="0" applyNumberFormat="1" applyFont="1" applyFill="1" applyBorder="1" applyAlignment="1">
      <alignment horizontal="right"/>
    </xf>
    <xf numFmtId="0" fontId="35" fillId="29" borderId="15" xfId="0" applyFont="1" applyFill="1" applyBorder="1" applyAlignment="1">
      <alignment horizontal="center" vertical="center"/>
    </xf>
    <xf numFmtId="2" fontId="35" fillId="29" borderId="15" xfId="0" applyNumberFormat="1" applyFont="1" applyFill="1" applyBorder="1" applyAlignment="1">
      <alignment vertical="center" wrapText="1"/>
    </xf>
    <xf numFmtId="2" fontId="35" fillId="29" borderId="34" xfId="0" applyNumberFormat="1" applyFont="1" applyFill="1" applyBorder="1" applyAlignment="1">
      <alignment vertical="center" wrapText="1"/>
    </xf>
    <xf numFmtId="1" fontId="35" fillId="24" borderId="68" xfId="38" applyNumberFormat="1" applyFont="1" applyFill="1" applyBorder="1" applyAlignment="1">
      <alignment horizontal="center" vertical="center"/>
    </xf>
    <xf numFmtId="1" fontId="35" fillId="35" borderId="68" xfId="38" applyNumberFormat="1" applyFont="1" applyFill="1" applyBorder="1" applyAlignment="1">
      <alignment horizontal="center" vertical="center"/>
    </xf>
    <xf numFmtId="1" fontId="35" fillId="36" borderId="68" xfId="38" applyNumberFormat="1" applyFont="1" applyFill="1" applyBorder="1" applyAlignment="1">
      <alignment horizontal="center" vertical="center"/>
    </xf>
    <xf numFmtId="0" fontId="35" fillId="34" borderId="54" xfId="64" applyFont="1" applyFill="1" applyBorder="1" applyAlignment="1">
      <alignment horizontal="center" vertical="center"/>
    </xf>
    <xf numFmtId="0" fontId="35" fillId="36" borderId="69" xfId="38" applyFont="1" applyFill="1" applyBorder="1" applyAlignment="1">
      <alignment horizontal="center" vertical="center"/>
    </xf>
    <xf numFmtId="0" fontId="35" fillId="34" borderId="54" xfId="38" applyFont="1" applyFill="1" applyBorder="1" applyAlignment="1">
      <alignment horizontal="center" vertical="center"/>
    </xf>
    <xf numFmtId="171" fontId="35" fillId="34" borderId="54" xfId="38" applyNumberFormat="1" applyFont="1" applyFill="1" applyBorder="1" applyAlignment="1">
      <alignment horizontal="right" vertical="center"/>
    </xf>
    <xf numFmtId="171" fontId="35" fillId="33" borderId="54" xfId="38" applyNumberFormat="1" applyFont="1" applyFill="1" applyBorder="1" applyAlignment="1">
      <alignment horizontal="right" vertical="center"/>
    </xf>
    <xf numFmtId="170" fontId="35" fillId="37" borderId="54" xfId="38" applyNumberFormat="1" applyFont="1" applyFill="1" applyBorder="1" applyAlignment="1" applyProtection="1">
      <alignment horizontal="left" vertical="center"/>
    </xf>
    <xf numFmtId="0" fontId="69" fillId="0" borderId="11" xfId="41" applyFont="1" applyFill="1" applyBorder="1" applyAlignment="1">
      <alignment vertical="center"/>
    </xf>
    <xf numFmtId="0" fontId="69" fillId="24" borderId="11" xfId="41" applyFont="1" applyFill="1" applyBorder="1" applyAlignment="1">
      <alignment horizontal="right" vertical="center"/>
    </xf>
    <xf numFmtId="173" fontId="69" fillId="0" borderId="11" xfId="63" applyNumberFormat="1" applyFont="1" applyFill="1" applyBorder="1" applyAlignment="1">
      <alignment vertical="center"/>
    </xf>
    <xf numFmtId="164" fontId="69" fillId="0" borderId="11" xfId="41" applyNumberFormat="1" applyFont="1" applyFill="1" applyBorder="1" applyAlignment="1">
      <alignment vertical="center"/>
    </xf>
    <xf numFmtId="164" fontId="69" fillId="24" borderId="11" xfId="41" applyNumberFormat="1" applyFont="1" applyFill="1" applyBorder="1" applyAlignment="1">
      <alignment vertical="center"/>
    </xf>
    <xf numFmtId="1" fontId="35" fillId="33" borderId="55" xfId="38" applyNumberFormat="1" applyFont="1" applyFill="1" applyBorder="1" applyAlignment="1">
      <alignment horizontal="center" vertical="center"/>
    </xf>
    <xf numFmtId="0" fontId="35" fillId="35" borderId="72" xfId="38" applyFont="1" applyFill="1" applyBorder="1" applyAlignment="1">
      <alignment horizontal="center" vertical="center"/>
    </xf>
    <xf numFmtId="0" fontId="99" fillId="41" borderId="38" xfId="89" applyFont="1" applyFill="1" applyBorder="1" applyAlignment="1">
      <alignment horizontal="center" vertical="center"/>
    </xf>
    <xf numFmtId="0" fontId="99" fillId="41" borderId="24" xfId="89" applyFont="1" applyFill="1" applyBorder="1" applyAlignment="1">
      <alignment horizontal="center" vertical="center"/>
    </xf>
    <xf numFmtId="0" fontId="99" fillId="41" borderId="15" xfId="89" applyFont="1" applyFill="1" applyBorder="1" applyAlignment="1">
      <alignment vertical="center"/>
    </xf>
    <xf numFmtId="173" fontId="99" fillId="41" borderId="15" xfId="48" applyNumberFormat="1" applyFont="1" applyFill="1" applyBorder="1" applyAlignment="1">
      <alignment horizontal="center" vertical="center"/>
    </xf>
    <xf numFmtId="173" fontId="99" fillId="41" borderId="15" xfId="48" applyNumberFormat="1" applyFont="1" applyFill="1" applyBorder="1" applyAlignment="1">
      <alignment vertical="center"/>
    </xf>
    <xf numFmtId="164" fontId="99" fillId="41" borderId="24" xfId="89" applyNumberFormat="1" applyFont="1" applyFill="1" applyBorder="1" applyAlignment="1">
      <alignment vertical="center"/>
    </xf>
    <xf numFmtId="1" fontId="35" fillId="24" borderId="68" xfId="93" applyNumberFormat="1" applyFont="1" applyFill="1" applyBorder="1" applyAlignment="1">
      <alignment horizontal="center" vertical="center"/>
    </xf>
    <xf numFmtId="1" fontId="35" fillId="33" borderId="68" xfId="38" applyNumberFormat="1" applyFont="1" applyFill="1" applyBorder="1" applyAlignment="1">
      <alignment horizontal="center" vertical="center"/>
    </xf>
    <xf numFmtId="1" fontId="35" fillId="33" borderId="73" xfId="38" applyNumberFormat="1" applyFont="1" applyFill="1" applyBorder="1" applyAlignment="1">
      <alignment horizontal="center" vertical="center"/>
    </xf>
    <xf numFmtId="1" fontId="35" fillId="33" borderId="74" xfId="38" applyNumberFormat="1" applyFont="1" applyFill="1" applyBorder="1" applyAlignment="1">
      <alignment horizontal="center" vertical="center"/>
    </xf>
    <xf numFmtId="173" fontId="35" fillId="34" borderId="54" xfId="63" applyNumberFormat="1" applyFont="1" applyFill="1" applyBorder="1" applyAlignment="1">
      <alignment horizontal="center" vertical="center"/>
    </xf>
    <xf numFmtId="9" fontId="35" fillId="34" borderId="54" xfId="62" applyFont="1" applyFill="1" applyBorder="1" applyAlignment="1">
      <alignment horizontal="right" vertical="center"/>
    </xf>
    <xf numFmtId="173" fontId="35" fillId="34" borderId="54" xfId="63" applyNumberFormat="1" applyFont="1" applyFill="1" applyBorder="1" applyAlignment="1">
      <alignment horizontal="right" vertical="center"/>
    </xf>
    <xf numFmtId="0" fontId="96" fillId="36" borderId="75" xfId="0" applyFont="1" applyFill="1" applyBorder="1" applyAlignment="1">
      <alignment horizontal="center" vertical="center"/>
    </xf>
    <xf numFmtId="174" fontId="35" fillId="34" borderId="54" xfId="94" applyNumberFormat="1" applyFont="1" applyFill="1" applyBorder="1" applyAlignment="1">
      <alignment horizontal="center" vertical="center"/>
    </xf>
    <xf numFmtId="167" fontId="35" fillId="34" borderId="54" xfId="38" applyNumberFormat="1" applyFont="1" applyFill="1" applyBorder="1" applyAlignment="1">
      <alignment horizontal="center" vertical="center"/>
    </xf>
    <xf numFmtId="0" fontId="99" fillId="41" borderId="76" xfId="89" applyFont="1" applyFill="1" applyBorder="1" applyAlignment="1">
      <alignment horizontal="center" vertical="center"/>
    </xf>
    <xf numFmtId="0" fontId="99" fillId="41" borderId="11" xfId="89" applyFont="1" applyFill="1" applyBorder="1" applyAlignment="1">
      <alignment horizontal="center" vertical="center"/>
    </xf>
    <xf numFmtId="0" fontId="99" fillId="41" borderId="39" xfId="89" applyFont="1" applyFill="1" applyBorder="1" applyAlignment="1">
      <alignment vertical="center"/>
    </xf>
    <xf numFmtId="173" fontId="99" fillId="41" borderId="39" xfId="48" applyNumberFormat="1" applyFont="1" applyFill="1" applyBorder="1" applyAlignment="1">
      <alignment horizontal="center" vertical="center"/>
    </xf>
    <xf numFmtId="173" fontId="99" fillId="41" borderId="39" xfId="48" applyNumberFormat="1" applyFont="1" applyFill="1" applyBorder="1" applyAlignment="1">
      <alignment vertical="center"/>
    </xf>
    <xf numFmtId="164" fontId="99" fillId="41" borderId="11" xfId="89" applyNumberFormat="1" applyFont="1" applyFill="1" applyBorder="1" applyAlignment="1">
      <alignment vertical="center"/>
    </xf>
    <xf numFmtId="14" fontId="66" fillId="24" borderId="0" xfId="0" applyNumberFormat="1" applyFont="1" applyFill="1" applyAlignment="1">
      <alignment horizontal="left" vertical="center" wrapText="1"/>
    </xf>
    <xf numFmtId="2" fontId="35" fillId="24" borderId="45" xfId="0" applyNumberFormat="1" applyFont="1" applyFill="1" applyBorder="1" applyAlignment="1">
      <alignment vertical="center" wrapText="1"/>
    </xf>
    <xf numFmtId="0" fontId="41" fillId="24" borderId="12" xfId="0" applyFont="1" applyFill="1" applyBorder="1" applyAlignment="1">
      <alignment horizontal="left" vertical="center" wrapText="1"/>
    </xf>
    <xf numFmtId="14" fontId="66" fillId="29" borderId="48" xfId="0" applyNumberFormat="1" applyFont="1" applyFill="1" applyBorder="1" applyAlignment="1">
      <alignment horizontal="left" vertical="center" wrapText="1"/>
    </xf>
    <xf numFmtId="0" fontId="40" fillId="30" borderId="48" xfId="0" applyFont="1" applyFill="1" applyBorder="1" applyAlignment="1">
      <alignment horizontal="center" vertical="center" wrapText="1"/>
    </xf>
    <xf numFmtId="0" fontId="99" fillId="41" borderId="15" xfId="89" applyFont="1" applyFill="1" applyBorder="1" applyAlignment="1">
      <alignment vertical="center" wrapText="1"/>
    </xf>
    <xf numFmtId="0" fontId="35" fillId="33" borderId="51" xfId="38" applyNumberFormat="1" applyFont="1" applyFill="1" applyBorder="1" applyAlignment="1">
      <alignment vertical="center" wrapText="1"/>
    </xf>
    <xf numFmtId="0" fontId="61" fillId="7" borderId="52" xfId="84" applyFont="1" applyBorder="1" applyAlignment="1">
      <alignment horizontal="justify" vertical="center" wrapText="1"/>
    </xf>
    <xf numFmtId="0" fontId="35" fillId="33" borderId="71" xfId="38" applyNumberFormat="1" applyFont="1" applyFill="1" applyBorder="1" applyAlignment="1">
      <alignment vertical="center" wrapText="1"/>
    </xf>
    <xf numFmtId="0" fontId="99" fillId="41" borderId="39" xfId="89" applyFont="1" applyFill="1" applyBorder="1" applyAlignment="1">
      <alignment vertical="center" wrapText="1"/>
    </xf>
    <xf numFmtId="0" fontId="35" fillId="33" borderId="0" xfId="0" applyFont="1" applyFill="1" applyAlignment="1">
      <alignment vertical="center" wrapText="1"/>
    </xf>
    <xf numFmtId="0" fontId="61" fillId="7" borderId="52" xfId="100" applyFont="1" applyBorder="1" applyAlignment="1">
      <alignment horizontal="justify" vertical="center" wrapText="1"/>
    </xf>
    <xf numFmtId="0" fontId="35" fillId="33" borderId="51" xfId="93" applyNumberFormat="1" applyFont="1" applyFill="1" applyBorder="1" applyAlignment="1">
      <alignment vertical="center" wrapText="1"/>
    </xf>
    <xf numFmtId="0" fontId="35" fillId="33" borderId="71" xfId="94" applyFont="1" applyFill="1" applyBorder="1" applyAlignment="1">
      <alignment horizontal="justify" vertical="center" wrapText="1"/>
    </xf>
    <xf numFmtId="0" fontId="69" fillId="0" borderId="22" xfId="41" applyFont="1" applyFill="1" applyBorder="1" applyAlignment="1">
      <alignment vertical="center" wrapText="1"/>
    </xf>
    <xf numFmtId="0" fontId="69" fillId="0" borderId="33" xfId="41" applyFont="1" applyFill="1" applyBorder="1" applyAlignment="1">
      <alignment vertical="center" wrapText="1"/>
    </xf>
    <xf numFmtId="0" fontId="69" fillId="0" borderId="66" xfId="41" applyFont="1" applyFill="1" applyBorder="1" applyAlignment="1">
      <alignment vertical="center" wrapText="1"/>
    </xf>
    <xf numFmtId="2" fontId="63" fillId="0" borderId="43" xfId="0" applyNumberFormat="1" applyFont="1" applyBorder="1" applyAlignment="1">
      <alignment vertical="center"/>
    </xf>
    <xf numFmtId="2" fontId="63" fillId="0" borderId="44" xfId="0" applyNumberFormat="1" applyFont="1" applyBorder="1" applyAlignment="1">
      <alignment vertical="center" wrapText="1"/>
    </xf>
    <xf numFmtId="2" fontId="57" fillId="0" borderId="44" xfId="0" applyNumberFormat="1" applyFont="1" applyBorder="1" applyAlignment="1">
      <alignment vertical="center" wrapText="1"/>
    </xf>
    <xf numFmtId="2" fontId="57" fillId="0" borderId="45" xfId="0" applyNumberFormat="1" applyFont="1" applyBorder="1" applyAlignment="1">
      <alignment vertical="center" wrapText="1"/>
    </xf>
    <xf numFmtId="0" fontId="35" fillId="0" borderId="12" xfId="0" applyFont="1" applyBorder="1"/>
    <xf numFmtId="0" fontId="35" fillId="0" borderId="10" xfId="0" applyFont="1" applyBorder="1"/>
    <xf numFmtId="0" fontId="35" fillId="0" borderId="15" xfId="0" applyFont="1" applyBorder="1"/>
    <xf numFmtId="0" fontId="35" fillId="0" borderId="34" xfId="0" applyFont="1" applyBorder="1"/>
    <xf numFmtId="2" fontId="35" fillId="24" borderId="0" xfId="0" applyNumberFormat="1" applyFont="1" applyFill="1" applyAlignment="1">
      <alignment vertical="top" wrapText="1"/>
    </xf>
    <xf numFmtId="2" fontId="36" fillId="24" borderId="0" xfId="0" applyNumberFormat="1" applyFont="1" applyFill="1" applyAlignment="1">
      <alignment vertical="center" wrapText="1"/>
    </xf>
    <xf numFmtId="0" fontId="67" fillId="24" borderId="0" xfId="0" applyFont="1" applyFill="1" applyAlignment="1">
      <alignment horizontal="right"/>
    </xf>
    <xf numFmtId="172" fontId="49" fillId="24" borderId="0" xfId="0" applyNumberFormat="1" applyFont="1" applyFill="1"/>
    <xf numFmtId="172" fontId="66" fillId="24" borderId="0" xfId="0" applyNumberFormat="1" applyFont="1" applyFill="1" applyAlignment="1">
      <alignment horizontal="left"/>
    </xf>
    <xf numFmtId="172" fontId="66" fillId="24" borderId="0" xfId="0" applyNumberFormat="1" applyFont="1" applyFill="1" applyAlignment="1">
      <alignment horizontal="left" vertical="top"/>
    </xf>
    <xf numFmtId="0" fontId="67" fillId="24" borderId="0" xfId="0" applyFont="1" applyFill="1" applyAlignment="1">
      <alignment horizontal="right" vertical="center"/>
    </xf>
    <xf numFmtId="0" fontId="68" fillId="24" borderId="0" xfId="0" applyFont="1" applyFill="1" applyAlignment="1">
      <alignment horizontal="center" vertical="center"/>
    </xf>
    <xf numFmtId="0" fontId="35" fillId="24" borderId="0" xfId="0" applyFont="1" applyFill="1" applyAlignment="1">
      <alignment vertical="center"/>
    </xf>
    <xf numFmtId="0" fontId="68" fillId="24" borderId="0" xfId="0" applyFont="1" applyFill="1" applyAlignment="1">
      <alignment horizontal="left" vertical="center"/>
    </xf>
    <xf numFmtId="169" fontId="68" fillId="24" borderId="0" xfId="61" applyNumberFormat="1" applyFont="1" applyFill="1" applyBorder="1" applyAlignment="1">
      <alignment vertical="center"/>
    </xf>
    <xf numFmtId="169" fontId="68" fillId="24" borderId="0" xfId="61" applyNumberFormat="1" applyFont="1" applyFill="1" applyBorder="1" applyAlignment="1">
      <alignment vertical="center" wrapText="1"/>
    </xf>
    <xf numFmtId="49" fontId="68" fillId="24" borderId="0" xfId="0" applyNumberFormat="1" applyFont="1" applyFill="1" applyAlignment="1">
      <alignment vertical="center" wrapText="1"/>
    </xf>
    <xf numFmtId="2" fontId="68" fillId="24" borderId="0" xfId="0" applyNumberFormat="1" applyFont="1" applyFill="1" applyAlignment="1">
      <alignment vertical="center" wrapText="1"/>
    </xf>
    <xf numFmtId="0" fontId="68" fillId="24" borderId="0" xfId="0" applyFont="1" applyFill="1" applyAlignment="1">
      <alignment vertical="center"/>
    </xf>
    <xf numFmtId="2" fontId="90" fillId="24" borderId="0" xfId="0" applyNumberFormat="1" applyFont="1" applyFill="1" applyAlignment="1">
      <alignment vertical="center" wrapText="1"/>
    </xf>
    <xf numFmtId="2" fontId="48" fillId="24" borderId="0" xfId="0" applyNumberFormat="1" applyFont="1" applyFill="1" applyAlignment="1">
      <alignment horizontal="center" vertical="center" wrapText="1"/>
    </xf>
    <xf numFmtId="0" fontId="68" fillId="24" borderId="0" xfId="0" applyFont="1" applyFill="1" applyAlignment="1">
      <alignment vertical="top"/>
    </xf>
    <xf numFmtId="2" fontId="92" fillId="24" borderId="0" xfId="0" applyNumberFormat="1" applyFont="1" applyFill="1" applyAlignment="1">
      <alignment vertical="center" wrapText="1"/>
    </xf>
    <xf numFmtId="0" fontId="50" fillId="24" borderId="0" xfId="0" applyFont="1" applyFill="1" applyAlignment="1">
      <alignment horizontal="left" vertical="center" wrapText="1"/>
    </xf>
    <xf numFmtId="0" fontId="94" fillId="24" borderId="0" xfId="0" applyFont="1" applyFill="1" applyAlignment="1">
      <alignment horizontal="center" vertical="center"/>
    </xf>
    <xf numFmtId="0" fontId="72" fillId="32" borderId="11" xfId="77" applyFont="1" applyFill="1" applyBorder="1" applyAlignment="1">
      <alignment horizontal="center" vertical="center" wrapText="1"/>
    </xf>
    <xf numFmtId="169" fontId="50" fillId="24" borderId="11" xfId="61" applyNumberFormat="1" applyFont="1" applyFill="1" applyBorder="1" applyAlignment="1">
      <alignment horizontal="justify" vertical="center" wrapText="1"/>
    </xf>
    <xf numFmtId="9" fontId="43" fillId="31" borderId="11" xfId="79" applyFont="1" applyFill="1" applyBorder="1" applyAlignment="1">
      <alignment horizontal="center" vertical="center"/>
    </xf>
    <xf numFmtId="0" fontId="45" fillId="38" borderId="11" xfId="0" applyFont="1" applyFill="1" applyBorder="1" applyAlignment="1">
      <alignment horizontal="center" vertical="center"/>
    </xf>
    <xf numFmtId="0" fontId="45" fillId="38" borderId="11" xfId="0" applyFont="1" applyFill="1" applyBorder="1" applyAlignment="1">
      <alignment horizontal="left" vertical="center"/>
    </xf>
    <xf numFmtId="2" fontId="45" fillId="38" borderId="11" xfId="0" applyNumberFormat="1" applyFont="1" applyFill="1" applyBorder="1" applyAlignment="1">
      <alignment horizontal="center" vertical="center" wrapText="1"/>
    </xf>
    <xf numFmtId="2" fontId="45" fillId="38" borderId="11" xfId="0" applyNumberFormat="1" applyFont="1" applyFill="1" applyBorder="1" applyAlignment="1">
      <alignment vertical="center" wrapText="1"/>
    </xf>
    <xf numFmtId="169" fontId="35" fillId="0" borderId="11" xfId="61" applyNumberFormat="1" applyFont="1" applyBorder="1" applyAlignment="1">
      <alignment horizontal="center" vertical="center" wrapText="1"/>
    </xf>
    <xf numFmtId="175" fontId="35" fillId="0" borderId="11" xfId="62" applyNumberFormat="1" applyFont="1" applyBorder="1" applyAlignment="1">
      <alignment horizontal="center" vertical="center" wrapText="1"/>
    </xf>
    <xf numFmtId="0" fontId="93" fillId="34" borderId="11" xfId="0" applyFont="1" applyFill="1" applyBorder="1" applyAlignment="1">
      <alignment horizontal="right" vertical="center"/>
    </xf>
    <xf numFmtId="0" fontId="36" fillId="34" borderId="11" xfId="0" applyFont="1" applyFill="1" applyBorder="1" applyAlignment="1">
      <alignment horizontal="right" vertical="center"/>
    </xf>
    <xf numFmtId="169" fontId="36" fillId="34" borderId="11" xfId="61" applyNumberFormat="1" applyFont="1" applyFill="1" applyBorder="1" applyAlignment="1">
      <alignment vertical="top" wrapText="1"/>
    </xf>
    <xf numFmtId="169" fontId="36" fillId="34" borderId="11" xfId="61" applyNumberFormat="1" applyFont="1" applyFill="1" applyBorder="1" applyAlignment="1">
      <alignment horizontal="center" vertical="top" wrapText="1"/>
    </xf>
    <xf numFmtId="9" fontId="35" fillId="34" borderId="11" xfId="0" applyNumberFormat="1" applyFont="1" applyFill="1" applyBorder="1" applyAlignment="1">
      <alignment horizontal="center" vertical="center" wrapText="1"/>
    </xf>
    <xf numFmtId="169" fontId="36" fillId="34" borderId="11" xfId="61" applyNumberFormat="1" applyFont="1" applyFill="1" applyBorder="1" applyAlignment="1">
      <alignment horizontal="left" vertical="top" wrapText="1"/>
    </xf>
    <xf numFmtId="169" fontId="36" fillId="34" borderId="11" xfId="61" applyNumberFormat="1" applyFont="1" applyFill="1" applyBorder="1" applyAlignment="1">
      <alignment horizontal="center" vertical="center" wrapText="1"/>
    </xf>
    <xf numFmtId="175" fontId="35" fillId="34" borderId="11" xfId="0" applyNumberFormat="1" applyFont="1" applyFill="1" applyBorder="1" applyAlignment="1">
      <alignment horizontal="center" vertical="center" wrapText="1"/>
    </xf>
    <xf numFmtId="0" fontId="93" fillId="37" borderId="11" xfId="0" applyFont="1" applyFill="1" applyBorder="1" applyAlignment="1">
      <alignment horizontal="right" vertical="center"/>
    </xf>
    <xf numFmtId="0" fontId="36" fillId="37" borderId="11" xfId="0" applyFont="1" applyFill="1" applyBorder="1" applyAlignment="1">
      <alignment horizontal="right" vertical="center"/>
    </xf>
    <xf numFmtId="169" fontId="36" fillId="37" borderId="11" xfId="61" applyNumberFormat="1" applyFont="1" applyFill="1" applyBorder="1" applyAlignment="1">
      <alignment horizontal="left" vertical="top" wrapText="1"/>
    </xf>
    <xf numFmtId="169" fontId="36" fillId="37" borderId="11" xfId="61" applyNumberFormat="1" applyFont="1" applyFill="1" applyBorder="1" applyAlignment="1">
      <alignment horizontal="center" vertical="center" wrapText="1"/>
    </xf>
    <xf numFmtId="2" fontId="35" fillId="37" borderId="11" xfId="0" applyNumberFormat="1" applyFont="1" applyFill="1" applyBorder="1" applyAlignment="1">
      <alignment horizontal="center" vertical="center" wrapText="1"/>
    </xf>
    <xf numFmtId="169" fontId="36" fillId="31" borderId="11" xfId="78" applyNumberFormat="1" applyFont="1" applyFill="1" applyBorder="1" applyAlignment="1">
      <alignment horizontal="center" vertical="center" wrapText="1"/>
    </xf>
    <xf numFmtId="2" fontId="47" fillId="31" borderId="11" xfId="0" applyNumberFormat="1" applyFont="1" applyFill="1" applyBorder="1" applyAlignment="1">
      <alignment horizontal="center" vertical="center" wrapText="1"/>
    </xf>
    <xf numFmtId="169" fontId="35" fillId="0" borderId="11" xfId="78" applyNumberFormat="1" applyFont="1" applyBorder="1" applyAlignment="1">
      <alignment vertical="center" wrapText="1"/>
    </xf>
    <xf numFmtId="169" fontId="35" fillId="24" borderId="11" xfId="78" applyNumberFormat="1" applyFont="1" applyFill="1" applyBorder="1" applyAlignment="1">
      <alignment vertical="center"/>
    </xf>
    <xf numFmtId="169" fontId="35" fillId="37" borderId="11" xfId="78" applyNumberFormat="1" applyFont="1" applyFill="1" applyBorder="1" applyAlignment="1">
      <alignment vertical="center" wrapText="1"/>
    </xf>
    <xf numFmtId="169" fontId="35" fillId="37" borderId="11" xfId="61" applyNumberFormat="1" applyFont="1" applyFill="1" applyBorder="1" applyAlignment="1">
      <alignment vertical="center" wrapText="1"/>
    </xf>
    <xf numFmtId="169" fontId="35" fillId="37" borderId="11" xfId="78" applyNumberFormat="1" applyFont="1" applyFill="1" applyBorder="1" applyAlignment="1">
      <alignment vertical="center"/>
    </xf>
    <xf numFmtId="169" fontId="35" fillId="37" borderId="11" xfId="61" applyNumberFormat="1" applyFont="1" applyFill="1" applyBorder="1" applyAlignment="1">
      <alignment vertical="center"/>
    </xf>
    <xf numFmtId="2" fontId="35" fillId="24" borderId="11" xfId="0" applyNumberFormat="1" applyFont="1" applyFill="1" applyBorder="1" applyAlignment="1">
      <alignment vertical="center"/>
    </xf>
    <xf numFmtId="169" fontId="35" fillId="28" borderId="11" xfId="78" applyNumberFormat="1" applyFont="1" applyFill="1" applyBorder="1" applyAlignment="1">
      <alignment vertical="center" wrapText="1"/>
    </xf>
    <xf numFmtId="2" fontId="42" fillId="29" borderId="11" xfId="0" applyNumberFormat="1" applyFont="1" applyFill="1" applyBorder="1" applyAlignment="1">
      <alignment horizontal="center" vertical="center" wrapText="1"/>
    </xf>
    <xf numFmtId="0" fontId="42" fillId="29" borderId="11" xfId="0" applyFont="1" applyFill="1" applyBorder="1" applyAlignment="1">
      <alignment horizontal="center" vertical="center"/>
    </xf>
    <xf numFmtId="2" fontId="42" fillId="29" borderId="11" xfId="0" applyNumberFormat="1" applyFont="1" applyFill="1" applyBorder="1" applyAlignment="1">
      <alignment vertical="center" wrapText="1"/>
    </xf>
    <xf numFmtId="169" fontId="35" fillId="0" borderId="11" xfId="78" applyNumberFormat="1" applyFont="1" applyBorder="1" applyAlignment="1">
      <alignment horizontal="center" vertical="center" wrapText="1"/>
    </xf>
    <xf numFmtId="169" fontId="35" fillId="0" borderId="11" xfId="61" applyNumberFormat="1" applyFont="1" applyBorder="1" applyAlignment="1">
      <alignment vertical="center" wrapText="1"/>
    </xf>
    <xf numFmtId="0" fontId="79" fillId="0" borderId="10" xfId="0" applyFont="1" applyBorder="1"/>
    <xf numFmtId="0" fontId="81" fillId="0" borderId="0" xfId="0" applyFont="1"/>
    <xf numFmtId="0" fontId="79" fillId="0" borderId="12" xfId="0" applyFont="1" applyBorder="1"/>
    <xf numFmtId="0" fontId="86" fillId="0" borderId="0" xfId="0" applyFont="1"/>
    <xf numFmtId="0" fontId="57" fillId="0" borderId="0" xfId="0" applyFont="1"/>
    <xf numFmtId="175" fontId="57" fillId="0" borderId="0" xfId="0" applyNumberFormat="1" applyFont="1"/>
    <xf numFmtId="0" fontId="86" fillId="0" borderId="0" xfId="0" applyFont="1" applyAlignment="1">
      <alignment vertical="center"/>
    </xf>
    <xf numFmtId="0" fontId="87" fillId="0" borderId="10" xfId="0" applyFont="1" applyBorder="1"/>
    <xf numFmtId="0" fontId="57" fillId="0" borderId="0" xfId="0" applyFont="1" applyAlignment="1">
      <alignment horizontal="center"/>
    </xf>
    <xf numFmtId="0" fontId="81" fillId="0" borderId="0" xfId="0" applyFont="1" applyAlignment="1">
      <alignment vertical="top"/>
    </xf>
    <xf numFmtId="0" fontId="35" fillId="0" borderId="16" xfId="0" applyFont="1" applyBorder="1"/>
    <xf numFmtId="43" fontId="35" fillId="0" borderId="0" xfId="0" applyNumberFormat="1" applyFont="1"/>
    <xf numFmtId="0" fontId="69" fillId="24" borderId="61" xfId="41" applyFont="1" applyFill="1" applyBorder="1" applyAlignment="1">
      <alignment horizontal="left" vertical="center"/>
    </xf>
    <xf numFmtId="0" fontId="69" fillId="24" borderId="17" xfId="41" applyFont="1" applyFill="1" applyBorder="1" applyAlignment="1">
      <alignment horizontal="left" vertical="center"/>
    </xf>
    <xf numFmtId="0" fontId="69" fillId="24" borderId="64" xfId="41" applyFont="1" applyFill="1" applyBorder="1" applyAlignment="1">
      <alignment horizontal="left" vertical="center"/>
    </xf>
    <xf numFmtId="0" fontId="69" fillId="24" borderId="65" xfId="41" applyFont="1" applyFill="1" applyBorder="1" applyAlignment="1">
      <alignment horizontal="left" vertical="center"/>
    </xf>
    <xf numFmtId="177" fontId="70" fillId="32" borderId="57" xfId="38" applyNumberFormat="1" applyFont="1" applyFill="1" applyBorder="1" applyAlignment="1">
      <alignment horizontal="center" vertical="center"/>
    </xf>
    <xf numFmtId="177" fontId="70" fillId="32" borderId="46" xfId="38" applyNumberFormat="1" applyFont="1" applyFill="1" applyBorder="1" applyAlignment="1">
      <alignment horizontal="center" vertical="center"/>
    </xf>
    <xf numFmtId="177" fontId="70" fillId="32" borderId="58" xfId="38" applyNumberFormat="1" applyFont="1" applyFill="1" applyBorder="1" applyAlignment="1">
      <alignment horizontal="center" vertical="center"/>
    </xf>
    <xf numFmtId="14" fontId="66" fillId="24" borderId="0" xfId="0" applyNumberFormat="1" applyFont="1" applyFill="1" applyAlignment="1">
      <alignment horizontal="center" vertical="center"/>
    </xf>
    <xf numFmtId="0" fontId="65" fillId="24" borderId="0" xfId="92" applyFont="1" applyFill="1" applyBorder="1" applyAlignment="1">
      <alignment horizontal="center"/>
    </xf>
    <xf numFmtId="0" fontId="69" fillId="24" borderId="11" xfId="41" applyFont="1" applyFill="1" applyBorder="1" applyAlignment="1">
      <alignment horizontal="left" vertical="center"/>
    </xf>
    <xf numFmtId="0" fontId="69" fillId="24" borderId="70" xfId="41" applyFont="1" applyFill="1" applyBorder="1" applyAlignment="1">
      <alignment horizontal="left" vertical="center"/>
    </xf>
    <xf numFmtId="0" fontId="69" fillId="24" borderId="22" xfId="41" applyFont="1" applyFill="1" applyBorder="1" applyAlignment="1">
      <alignment horizontal="left" vertical="center"/>
    </xf>
    <xf numFmtId="0" fontId="69" fillId="24" borderId="56" xfId="41" applyFont="1" applyFill="1" applyBorder="1" applyAlignment="1">
      <alignment horizontal="center" vertical="center"/>
    </xf>
    <xf numFmtId="0" fontId="69" fillId="24" borderId="39" xfId="41" applyFont="1" applyFill="1" applyBorder="1" applyAlignment="1">
      <alignment horizontal="center" vertical="center"/>
    </xf>
    <xf numFmtId="0" fontId="69" fillId="24" borderId="48" xfId="41" applyFont="1" applyFill="1" applyBorder="1" applyAlignment="1">
      <alignment horizontal="center" vertical="center"/>
    </xf>
    <xf numFmtId="0" fontId="57" fillId="0" borderId="10" xfId="0" applyFont="1" applyBorder="1" applyAlignment="1">
      <alignment horizontal="left" indent="3"/>
    </xf>
    <xf numFmtId="0" fontId="57" fillId="0" borderId="0" xfId="0" applyFont="1" applyAlignment="1">
      <alignment horizontal="left" indent="3"/>
    </xf>
    <xf numFmtId="0" fontId="86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78" fillId="39" borderId="43" xfId="0" applyFont="1" applyFill="1" applyBorder="1" applyAlignment="1">
      <alignment horizontal="center" vertical="center"/>
    </xf>
    <xf numFmtId="0" fontId="71" fillId="39" borderId="44" xfId="0" applyFont="1" applyFill="1" applyBorder="1" applyAlignment="1">
      <alignment horizontal="center" vertical="center"/>
    </xf>
    <xf numFmtId="0" fontId="71" fillId="39" borderId="45" xfId="0" applyFont="1" applyFill="1" applyBorder="1" applyAlignment="1">
      <alignment horizontal="center" vertical="center"/>
    </xf>
    <xf numFmtId="0" fontId="71" fillId="39" borderId="10" xfId="0" applyFont="1" applyFill="1" applyBorder="1" applyAlignment="1">
      <alignment horizontal="center" vertical="center"/>
    </xf>
    <xf numFmtId="0" fontId="71" fillId="39" borderId="0" xfId="0" applyFont="1" applyFill="1" applyAlignment="1">
      <alignment horizontal="center" vertical="center"/>
    </xf>
    <xf numFmtId="0" fontId="71" fillId="39" borderId="12" xfId="0" applyFont="1" applyFill="1" applyBorder="1" applyAlignment="1">
      <alignment horizontal="center" vertical="center"/>
    </xf>
    <xf numFmtId="0" fontId="71" fillId="39" borderId="16" xfId="0" applyFont="1" applyFill="1" applyBorder="1" applyAlignment="1">
      <alignment horizontal="center" vertical="center"/>
    </xf>
    <xf numFmtId="0" fontId="71" fillId="39" borderId="15" xfId="0" applyFont="1" applyFill="1" applyBorder="1" applyAlignment="1">
      <alignment horizontal="center" vertical="center"/>
    </xf>
    <xf numFmtId="0" fontId="71" fillId="39" borderId="34" xfId="0" applyFont="1" applyFill="1" applyBorder="1" applyAlignment="1">
      <alignment horizontal="center" vertical="center"/>
    </xf>
    <xf numFmtId="0" fontId="80" fillId="0" borderId="21" xfId="0" applyFont="1" applyBorder="1" applyAlignment="1">
      <alignment horizontal="center"/>
    </xf>
    <xf numFmtId="0" fontId="82" fillId="0" borderId="21" xfId="0" applyFont="1" applyBorder="1" applyAlignment="1">
      <alignment horizontal="center"/>
    </xf>
    <xf numFmtId="0" fontId="83" fillId="0" borderId="21" xfId="0" applyFont="1" applyBorder="1" applyAlignment="1">
      <alignment horizontal="center"/>
    </xf>
    <xf numFmtId="0" fontId="84" fillId="0" borderId="21" xfId="0" applyFont="1" applyBorder="1" applyAlignment="1">
      <alignment horizontal="center"/>
    </xf>
    <xf numFmtId="0" fontId="81" fillId="0" borderId="21" xfId="0" applyFont="1" applyBorder="1" applyAlignment="1">
      <alignment horizontal="center"/>
    </xf>
    <xf numFmtId="0" fontId="85" fillId="0" borderId="21" xfId="0" applyFont="1" applyBorder="1" applyAlignment="1">
      <alignment horizontal="center"/>
    </xf>
    <xf numFmtId="167" fontId="57" fillId="0" borderId="0" xfId="63" applyFont="1" applyBorder="1" applyAlignment="1"/>
    <xf numFmtId="2" fontId="48" fillId="24" borderId="11" xfId="0" applyNumberFormat="1" applyFont="1" applyFill="1" applyBorder="1" applyAlignment="1">
      <alignment horizontal="center" vertical="center" wrapText="1"/>
    </xf>
    <xf numFmtId="2" fontId="43" fillId="31" borderId="11" xfId="0" applyNumberFormat="1" applyFont="1" applyFill="1" applyBorder="1" applyAlignment="1">
      <alignment horizontal="center" vertical="center" wrapText="1"/>
    </xf>
    <xf numFmtId="0" fontId="65" fillId="24" borderId="0" xfId="92" applyFont="1" applyFill="1" applyBorder="1" applyAlignment="1">
      <alignment horizontal="center" vertical="center" wrapText="1"/>
    </xf>
    <xf numFmtId="0" fontId="75" fillId="29" borderId="11" xfId="0" applyFont="1" applyFill="1" applyBorder="1" applyAlignment="1">
      <alignment horizontal="center" vertical="center" wrapText="1"/>
    </xf>
    <xf numFmtId="0" fontId="72" fillId="32" borderId="11" xfId="77" applyFont="1" applyFill="1" applyBorder="1" applyAlignment="1">
      <alignment horizontal="center" vertical="center" wrapText="1"/>
    </xf>
    <xf numFmtId="2" fontId="71" fillId="30" borderId="43" xfId="0" applyNumberFormat="1" applyFont="1" applyFill="1" applyBorder="1" applyAlignment="1">
      <alignment horizontal="center" vertical="center"/>
    </xf>
    <xf numFmtId="2" fontId="71" fillId="30" borderId="44" xfId="0" applyNumberFormat="1" applyFont="1" applyFill="1" applyBorder="1" applyAlignment="1">
      <alignment horizontal="center" vertical="center"/>
    </xf>
    <xf numFmtId="2" fontId="71" fillId="30" borderId="45" xfId="0" applyNumberFormat="1" applyFont="1" applyFill="1" applyBorder="1" applyAlignment="1">
      <alignment horizontal="center" vertical="center"/>
    </xf>
    <xf numFmtId="2" fontId="71" fillId="30" borderId="16" xfId="0" applyNumberFormat="1" applyFont="1" applyFill="1" applyBorder="1" applyAlignment="1">
      <alignment horizontal="center" vertical="center"/>
    </xf>
    <xf numFmtId="2" fontId="71" fillId="30" borderId="15" xfId="0" applyNumberFormat="1" applyFont="1" applyFill="1" applyBorder="1" applyAlignment="1">
      <alignment horizontal="center" vertical="center"/>
    </xf>
    <xf numFmtId="2" fontId="71" fillId="30" borderId="34" xfId="0" applyNumberFormat="1" applyFont="1" applyFill="1" applyBorder="1" applyAlignment="1">
      <alignment horizontal="center" vertical="center"/>
    </xf>
    <xf numFmtId="0" fontId="81" fillId="24" borderId="11" xfId="92" applyFont="1" applyFill="1" applyBorder="1" applyAlignment="1">
      <alignment horizontal="center" vertical="center"/>
    </xf>
    <xf numFmtId="172" fontId="66" fillId="24" borderId="0" xfId="0" applyNumberFormat="1" applyFont="1" applyFill="1" applyAlignment="1">
      <alignment horizontal="left" vertical="top" wrapText="1"/>
    </xf>
    <xf numFmtId="2" fontId="73" fillId="0" borderId="11" xfId="0" applyNumberFormat="1" applyFont="1" applyBorder="1" applyAlignment="1">
      <alignment horizontal="justify" vertical="center" wrapText="1"/>
    </xf>
    <xf numFmtId="0" fontId="88" fillId="24" borderId="11" xfId="92" applyFont="1" applyFill="1" applyBorder="1" applyAlignment="1">
      <alignment horizontal="center" vertical="center" wrapText="1"/>
    </xf>
    <xf numFmtId="2" fontId="74" fillId="31" borderId="11" xfId="0" applyNumberFormat="1" applyFont="1" applyFill="1" applyBorder="1" applyAlignment="1">
      <alignment horizontal="center" vertical="center" wrapText="1"/>
    </xf>
    <xf numFmtId="0" fontId="74" fillId="25" borderId="11" xfId="0" applyFont="1" applyFill="1" applyBorder="1" applyAlignment="1">
      <alignment horizontal="center" vertical="center" wrapText="1"/>
    </xf>
    <xf numFmtId="2" fontId="47" fillId="31" borderId="11" xfId="0" applyNumberFormat="1" applyFont="1" applyFill="1" applyBorder="1" applyAlignment="1">
      <alignment horizontal="center" vertical="center" wrapText="1"/>
    </xf>
    <xf numFmtId="2" fontId="76" fillId="24" borderId="11" xfId="0" applyNumberFormat="1" applyFont="1" applyFill="1" applyBorder="1" applyAlignment="1">
      <alignment horizontal="center" vertical="center" wrapText="1"/>
    </xf>
    <xf numFmtId="0" fontId="77" fillId="29" borderId="11" xfId="0" applyFont="1" applyFill="1" applyBorder="1" applyAlignment="1">
      <alignment horizontal="center" vertical="center"/>
    </xf>
    <xf numFmtId="0" fontId="36" fillId="37" borderId="11" xfId="0" applyFont="1" applyFill="1" applyBorder="1" applyAlignment="1">
      <alignment horizontal="right" vertical="center"/>
    </xf>
    <xf numFmtId="0" fontId="42" fillId="29" borderId="11" xfId="0" applyFont="1" applyFill="1" applyBorder="1" applyAlignment="1">
      <alignment horizontal="left" vertical="center"/>
    </xf>
    <xf numFmtId="0" fontId="55" fillId="0" borderId="11" xfId="0" applyFont="1" applyBorder="1" applyAlignment="1">
      <alignment horizontal="left" vertical="center" wrapText="1"/>
    </xf>
    <xf numFmtId="0" fontId="55" fillId="0" borderId="11" xfId="0" applyFont="1" applyBorder="1" applyAlignment="1">
      <alignment horizontal="left" wrapText="1"/>
    </xf>
    <xf numFmtId="0" fontId="36" fillId="34" borderId="11" xfId="0" applyFont="1" applyFill="1" applyBorder="1" applyAlignment="1">
      <alignment horizontal="right" vertical="center"/>
    </xf>
    <xf numFmtId="2" fontId="57" fillId="0" borderId="10" xfId="0" applyNumberFormat="1" applyFont="1" applyBorder="1" applyAlignment="1">
      <alignment horizontal="left" vertical="top" wrapText="1"/>
    </xf>
    <xf numFmtId="2" fontId="57" fillId="0" borderId="0" xfId="0" applyNumberFormat="1" applyFont="1" applyAlignment="1">
      <alignment horizontal="left" vertical="top" wrapText="1"/>
    </xf>
    <xf numFmtId="2" fontId="57" fillId="0" borderId="12" xfId="0" applyNumberFormat="1" applyFont="1" applyBorder="1" applyAlignment="1">
      <alignment horizontal="left" vertical="top" wrapText="1"/>
    </xf>
    <xf numFmtId="2" fontId="57" fillId="0" borderId="29" xfId="0" applyNumberFormat="1" applyFont="1" applyBorder="1" applyAlignment="1">
      <alignment horizontal="left" vertical="top" wrapText="1"/>
    </xf>
    <xf numFmtId="2" fontId="57" fillId="0" borderId="21" xfId="0" applyNumberFormat="1" applyFont="1" applyBorder="1" applyAlignment="1">
      <alignment horizontal="left" vertical="top" wrapText="1"/>
    </xf>
    <xf numFmtId="2" fontId="57" fillId="0" borderId="42" xfId="0" applyNumberFormat="1" applyFont="1" applyBorder="1" applyAlignment="1">
      <alignment horizontal="left" vertical="top" wrapText="1"/>
    </xf>
    <xf numFmtId="0" fontId="62" fillId="26" borderId="28" xfId="0" applyFont="1" applyFill="1" applyBorder="1" applyAlignment="1">
      <alignment horizontal="center" vertical="center"/>
    </xf>
    <xf numFmtId="0" fontId="62" fillId="26" borderId="14" xfId="0" applyFont="1" applyFill="1" applyBorder="1" applyAlignment="1">
      <alignment horizontal="center" vertical="center"/>
    </xf>
    <xf numFmtId="0" fontId="62" fillId="26" borderId="19" xfId="0" applyFont="1" applyFill="1" applyBorder="1" applyAlignment="1">
      <alignment horizontal="center" vertical="center"/>
    </xf>
    <xf numFmtId="0" fontId="62" fillId="26" borderId="77" xfId="0" applyFont="1" applyFill="1" applyBorder="1" applyAlignment="1">
      <alignment horizontal="center" vertical="center"/>
    </xf>
    <xf numFmtId="0" fontId="97" fillId="24" borderId="18" xfId="92" applyFont="1" applyFill="1" applyBorder="1" applyAlignment="1">
      <alignment horizontal="center"/>
    </xf>
    <xf numFmtId="0" fontId="97" fillId="24" borderId="19" xfId="92" applyFont="1" applyFill="1" applyBorder="1" applyAlignment="1">
      <alignment horizontal="center"/>
    </xf>
    <xf numFmtId="0" fontId="97" fillId="24" borderId="20" xfId="92" applyFont="1" applyFill="1" applyBorder="1" applyAlignment="1">
      <alignment horizontal="center"/>
    </xf>
  </cellXfs>
  <cellStyles count="1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alculation 2" xfId="108" xr:uid="{96CCCEB1-3F92-48C1-B888-8E18DE88718D}"/>
    <cellStyle name="Check Cell" xfId="27" builtinId="23" customBuiltin="1"/>
    <cellStyle name="Comma" xfId="63" builtinId="3"/>
    <cellStyle name="Comma 2" xfId="46" xr:uid="{00000000-0005-0000-0000-00001C000000}"/>
    <cellStyle name="Comma 2 2" xfId="48" xr:uid="{00000000-0005-0000-0000-00001D000000}"/>
    <cellStyle name="Comma 3" xfId="105" xr:uid="{B77ABCAD-718E-4CFA-BDE4-30A77DC9C0AC}"/>
    <cellStyle name="Currency" xfId="61" builtinId="4"/>
    <cellStyle name="Currency 2" xfId="50" xr:uid="{00000000-0005-0000-0000-00001F000000}"/>
    <cellStyle name="Currency 3" xfId="75" xr:uid="{00000000-0005-0000-0000-000020000000}"/>
    <cellStyle name="Currency 3 2" xfId="128" xr:uid="{2E610407-C5EF-47F2-8364-5748D5A0C4C1}"/>
    <cellStyle name="Currency 4" xfId="78" xr:uid="{00000000-0005-0000-0000-000021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92" builtinId="8"/>
    <cellStyle name="Input" xfId="34" builtinId="20" customBuiltin="1"/>
    <cellStyle name="Input 2" xfId="84" xr:uid="{00000000-0005-0000-0000-00002A000000}"/>
    <cellStyle name="Input 2 2" xfId="100" xr:uid="{1873FA0A-06FE-4EC8-B083-D35681585B63}"/>
    <cellStyle name="Input 3" xfId="91" xr:uid="{00000000-0005-0000-0000-00002B000000}"/>
    <cellStyle name="Linked Cell" xfId="35" builtinId="24" customBuiltin="1"/>
    <cellStyle name="Neutral" xfId="36" builtinId="28" customBuiltin="1"/>
    <cellStyle name="Normal" xfId="0" builtinId="0"/>
    <cellStyle name="Normal 10" xfId="69" xr:uid="{00000000-0005-0000-0000-00002F000000}"/>
    <cellStyle name="Normal 10 2" xfId="123" xr:uid="{EBB06BC5-FB0A-4A27-99E5-E84C2EFEE477}"/>
    <cellStyle name="Normal 11" xfId="97" xr:uid="{00000000-0005-0000-0000-000030000000}"/>
    <cellStyle name="Normal 11 2" xfId="137" xr:uid="{C56B8D66-A6A9-4E73-B446-36566365D898}"/>
    <cellStyle name="Normal 12" xfId="96" xr:uid="{00000000-0005-0000-0000-000031000000}"/>
    <cellStyle name="Normal 12 2" xfId="136" xr:uid="{7AFF7B2D-9ACB-45B5-BC50-9EF88BF88C5F}"/>
    <cellStyle name="Normal 13" xfId="99" xr:uid="{00000000-0005-0000-0000-000032000000}"/>
    <cellStyle name="Normal 13 2" xfId="138" xr:uid="{04919603-0833-4D56-B115-0340F224C77B}"/>
    <cellStyle name="Normal 14" xfId="104" xr:uid="{BBF56C1E-7855-4513-B4AF-8BAEFC16D4CF}"/>
    <cellStyle name="Normal 14 2" xfId="139" xr:uid="{8583EE8E-3FA9-4A65-9789-D1CBF502C864}"/>
    <cellStyle name="Normal 15" xfId="106" xr:uid="{FED76DF0-178C-42FF-9B52-5B3FF5971E77}"/>
    <cellStyle name="Normal 16" xfId="107" xr:uid="{C6795037-E00A-4BCD-B2A0-CBD24F29026A}"/>
    <cellStyle name="Normal 17" xfId="140" xr:uid="{1DF46845-2E13-429E-A44D-0C0EBA924F83}"/>
    <cellStyle name="Normal 2" xfId="44" xr:uid="{00000000-0005-0000-0000-000033000000}"/>
    <cellStyle name="Normal 2 2" xfId="47" xr:uid="{00000000-0005-0000-0000-000034000000}"/>
    <cellStyle name="Normal 2 3" xfId="45" xr:uid="{00000000-0005-0000-0000-000035000000}"/>
    <cellStyle name="Normal 2 3 2" xfId="52" xr:uid="{00000000-0005-0000-0000-000036000000}"/>
    <cellStyle name="Normal 3" xfId="37" xr:uid="{00000000-0005-0000-0000-000037000000}"/>
    <cellStyle name="Normal 4" xfId="43" xr:uid="{00000000-0005-0000-0000-000038000000}"/>
    <cellStyle name="Normal 4 2" xfId="53" xr:uid="{00000000-0005-0000-0000-000039000000}"/>
    <cellStyle name="Normal 4 2 2" xfId="58" xr:uid="{00000000-0005-0000-0000-00003A000000}"/>
    <cellStyle name="Normal 4 2 2 2" xfId="116" xr:uid="{29686194-DE94-4B1B-B84D-A1D86F1F0E5B}"/>
    <cellStyle name="Normal 4 2 3" xfId="111" xr:uid="{6B0F5C59-1DD4-4157-94BD-17791804B113}"/>
    <cellStyle name="Normal 4 3" xfId="51" xr:uid="{00000000-0005-0000-0000-00003B000000}"/>
    <cellStyle name="Normal 4 3 2" xfId="57" xr:uid="{00000000-0005-0000-0000-00003C000000}"/>
    <cellStyle name="Normal 4 3 2 2" xfId="115" xr:uid="{725E4FCB-4BAB-426E-9D74-3B6776FA661B}"/>
    <cellStyle name="Normal 4 3 3" xfId="110" xr:uid="{F1D4C9BB-1A91-4A07-B09A-CE855F0941DA}"/>
    <cellStyle name="Normal 4 4" xfId="56" xr:uid="{00000000-0005-0000-0000-00003D000000}"/>
    <cellStyle name="Normal 4 4 2" xfId="114" xr:uid="{3A638CAB-7D96-4D37-A375-DC8603E69A75}"/>
    <cellStyle name="Normal 4 5" xfId="109" xr:uid="{A2798E31-63B5-4374-862C-8582566E2A85}"/>
    <cellStyle name="Normal 5" xfId="49" xr:uid="{00000000-0005-0000-0000-00003E000000}"/>
    <cellStyle name="Normal 6" xfId="55" xr:uid="{00000000-0005-0000-0000-00003F000000}"/>
    <cellStyle name="Normal 6 2" xfId="113" xr:uid="{5C0F9809-6352-4493-9601-B119495EA14A}"/>
    <cellStyle name="Normal 7" xfId="54" xr:uid="{00000000-0005-0000-0000-000040000000}"/>
    <cellStyle name="Normal 7 2" xfId="59" xr:uid="{00000000-0005-0000-0000-000041000000}"/>
    <cellStyle name="Normal 7 2 2" xfId="117" xr:uid="{62A1D5E2-E8F3-4F93-9725-05EEB63B369A}"/>
    <cellStyle name="Normal 7 3" xfId="112" xr:uid="{E866BB9A-8C55-4F80-BEB3-074EE063EF0D}"/>
    <cellStyle name="Normal 8" xfId="60" xr:uid="{00000000-0005-0000-0000-000042000000}"/>
    <cellStyle name="Normal 8 2" xfId="118" xr:uid="{0B0455BC-F411-4742-A967-E3E6DB4CE3BF}"/>
    <cellStyle name="Normal 9" xfId="65" xr:uid="{00000000-0005-0000-0000-000043000000}"/>
    <cellStyle name="Normal 9 2" xfId="119" xr:uid="{ED05115D-F5D0-445C-B068-D7EE4CB7FF8D}"/>
    <cellStyle name="Note" xfId="38" builtinId="10" customBuiltin="1"/>
    <cellStyle name="Note 10 2" xfId="71" xr:uid="{00000000-0005-0000-0000-000045000000}"/>
    <cellStyle name="Note 10 2 10 2 2 4 2 2 2 2 2 2 2 2 2 2" xfId="93" xr:uid="{00000000-0005-0000-0000-000046000000}"/>
    <cellStyle name="Note 10 2 10 2 2 4 2 2 2 2 2 2 2 2 2 2 2" xfId="103" xr:uid="{3E768BBF-5255-4F9C-BCA9-FD0CB21069EE}"/>
    <cellStyle name="Note 10 2 10 2 2 4 2 2 2 2 2 2 2 2 2 2 2 2 2 2 2 3 2" xfId="95" xr:uid="{00000000-0005-0000-0000-000047000000}"/>
    <cellStyle name="Note 10 2 10 2 2 4 2 2 2 2 2 2 2 2 2 2 3" xfId="98" xr:uid="{00000000-0005-0000-0000-000048000000}"/>
    <cellStyle name="Note 10 2 11 3 3" xfId="90" xr:uid="{00000000-0005-0000-0000-000049000000}"/>
    <cellStyle name="Note 10 2 11 3 3 2" xfId="135" xr:uid="{48CEBF0E-AC7C-4048-ABA7-9B0FF05003E2}"/>
    <cellStyle name="Note 10 2 2" xfId="82" xr:uid="{00000000-0005-0000-0000-00004A000000}"/>
    <cellStyle name="Note 10 2 2 2" xfId="131" xr:uid="{DF7A7750-78DA-4EAF-810F-365D3E8AED2D}"/>
    <cellStyle name="Note 17 2" xfId="72" xr:uid="{00000000-0005-0000-0000-00004B000000}"/>
    <cellStyle name="Note 17 2 2" xfId="125" xr:uid="{E88B9F14-34BF-47D4-B170-1EDC49687CF3}"/>
    <cellStyle name="Note 2" xfId="64" xr:uid="{00000000-0005-0000-0000-00004C000000}"/>
    <cellStyle name="Note 2 134" xfId="94" xr:uid="{00000000-0005-0000-0000-00004D000000}"/>
    <cellStyle name="Note 2 134 2" xfId="102" xr:uid="{BE52BE97-431A-4FC5-8FE3-D32E6DD06851}"/>
    <cellStyle name="Note 2 2" xfId="81" xr:uid="{00000000-0005-0000-0000-00004E000000}"/>
    <cellStyle name="Note 2 2 2" xfId="130" xr:uid="{8FDFD5BD-7AD0-44FF-840E-2CF315FF2639}"/>
    <cellStyle name="Note 2 24" xfId="70" xr:uid="{00000000-0005-0000-0000-00004F000000}"/>
    <cellStyle name="Note 2 24 2" xfId="124" xr:uid="{880377C9-3FCA-4832-9261-9C87DCD544D2}"/>
    <cellStyle name="Note 2 3" xfId="88" xr:uid="{00000000-0005-0000-0000-000050000000}"/>
    <cellStyle name="Note 2 3 2" xfId="134" xr:uid="{9F39F40C-DED0-457E-BA76-1071A83D7AB5}"/>
    <cellStyle name="Note 2 6 2 2" xfId="74" xr:uid="{00000000-0005-0000-0000-000051000000}"/>
    <cellStyle name="Note 2 6 2 2 2" xfId="127" xr:uid="{C8E4B7F7-C739-401E-AC57-E55369B5D4F8}"/>
    <cellStyle name="Note 24" xfId="68" xr:uid="{00000000-0005-0000-0000-000052000000}"/>
    <cellStyle name="Note 24 2" xfId="122" xr:uid="{E8AFE1F7-7525-4CD8-9EE9-0AEE512489AD}"/>
    <cellStyle name="Note 25" xfId="67" xr:uid="{00000000-0005-0000-0000-000053000000}"/>
    <cellStyle name="Note 25 2" xfId="121" xr:uid="{62FE235B-9EE0-42A0-ABE1-72708904BA12}"/>
    <cellStyle name="Note 28 2" xfId="66" xr:uid="{00000000-0005-0000-0000-000054000000}"/>
    <cellStyle name="Note 28 2 2" xfId="120" xr:uid="{AC077469-4C4A-4B52-B12D-B82FCBF29A23}"/>
    <cellStyle name="Note 3" xfId="80" xr:uid="{00000000-0005-0000-0000-000055000000}"/>
    <cellStyle name="Note 3 2" xfId="129" xr:uid="{2A2D2BC5-F712-44CB-ACC4-04A0A359EF19}"/>
    <cellStyle name="Note 33" xfId="73" xr:uid="{00000000-0005-0000-0000-000056000000}"/>
    <cellStyle name="Note 33 2" xfId="126" xr:uid="{407770AD-3CAE-4A83-8968-3B9694B485DA}"/>
    <cellStyle name="Note 4" xfId="87" xr:uid="{00000000-0005-0000-0000-000057000000}"/>
    <cellStyle name="Note 4 2" xfId="133" xr:uid="{539C426C-B240-4B39-B111-E07433D60F83}"/>
    <cellStyle name="Note 5" xfId="141" xr:uid="{6A1C7F01-4446-44CE-9686-62C103E084FF}"/>
    <cellStyle name="Output" xfId="39" builtinId="21" customBuiltin="1"/>
    <cellStyle name="Output 2" xfId="77" xr:uid="{00000000-0005-0000-0000-000059000000}"/>
    <cellStyle name="Output 2 2" xfId="85" xr:uid="{00000000-0005-0000-0000-00005A000000}"/>
    <cellStyle name="Output 2 2 2" xfId="89" xr:uid="{00000000-0005-0000-0000-00005B000000}"/>
    <cellStyle name="Output 3" xfId="83" xr:uid="{00000000-0005-0000-0000-00005C000000}"/>
    <cellStyle name="Output 3 2" xfId="132" xr:uid="{31BB53E1-F4C0-4F02-B67C-857D74A27C67}"/>
    <cellStyle name="Percent" xfId="62" builtinId="5"/>
    <cellStyle name="Percent 2" xfId="76" xr:uid="{00000000-0005-0000-0000-00005E000000}"/>
    <cellStyle name="Percent 2 2" xfId="101" xr:uid="{6417956D-E4C6-4D34-9B60-C6DC1D8AE86D}"/>
    <cellStyle name="Percent 3" xfId="79" xr:uid="{00000000-0005-0000-0000-00005F000000}"/>
    <cellStyle name="Title" xfId="40" builtinId="15" customBuiltin="1"/>
    <cellStyle name="Total" xfId="41" builtinId="25" customBuiltin="1"/>
    <cellStyle name="Total 2" xfId="86" xr:uid="{00000000-0005-0000-0000-000062000000}"/>
    <cellStyle name="Warning Text" xfId="42" builtinId="11" customBuiltin="1"/>
  </cellStyles>
  <dxfs count="11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numFmt numFmtId="14" formatCode="0.00%"/>
    </dxf>
    <dxf>
      <numFmt numFmtId="165" formatCode="_(* #,##0_);_(* \(#,##0\);_(* &quot;-&quot;_);_(@_)"/>
    </dxf>
    <dxf>
      <numFmt numFmtId="14" formatCode="0.00%"/>
    </dxf>
    <dxf>
      <numFmt numFmtId="165" formatCode="_(* #,##0_);_(* \(#,##0\);_(* &quot;-&quot;_);_(@_)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sz val="12"/>
        <color theme="1"/>
        <name val="Times New Roman"/>
        <scheme val="major"/>
      </font>
      <border diagonalUp="0" diagonalDown="0">
        <left/>
        <right/>
        <top/>
        <bottom/>
        <vertical/>
        <horizontal/>
      </border>
    </dxf>
  </dxfs>
  <tableStyles count="3" defaultTableStyle="TableStyleMedium9" defaultPivotStyle="PivotStyleLight16">
    <tableStyle name="My Style" pivot="0" table="0" count="10" xr9:uid="{00000000-0011-0000-FFFF-FFFF00000000}">
      <tableStyleElement type="wholeTable" dxfId="10"/>
      <tableStyleElement type="headerRow" dxfId="9"/>
    </tableStyle>
    <tableStyle name="Slicer Style 1" pivot="0" table="0" count="1" xr9:uid="{00000000-0011-0000-FFFF-FFFF01000000}">
      <tableStyleElement type="wholeTable" dxfId="8"/>
    </tableStyle>
    <tableStyle name="SlicerStyleDark1 2" pivot="0" table="0" count="10" xr9:uid="{00000000-0011-0000-FFFF-FFFF02000000}">
      <tableStyleElement type="wholeTable" dxfId="7"/>
      <tableStyleElement type="headerRow" dxfId="6"/>
    </tableStyle>
  </tableStyles>
  <colors>
    <mruColors>
      <color rgb="FF996600"/>
      <color rgb="FFCC6600"/>
      <color rgb="FFD2CBB6"/>
      <color rgb="FFDDEBF7"/>
      <color rgb="FFC86866"/>
      <color rgb="FFEC6B0A"/>
      <color rgb="FFFFF2CC"/>
      <color rgb="FFACB9CA"/>
      <color rgb="FFE2EFDA"/>
      <color rgb="FFF2F2F2"/>
    </mruColors>
  </colors>
  <extLst>
    <ext xmlns:x14="http://schemas.microsoft.com/office/spreadsheetml/2009/9/main" uri="{46F421CA-312F-682f-3DD2-61675219B42D}">
      <x14:dxfs count="16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My Style">
          <x14:slicerStyleElements>
            <x14:slicerStyleElement type="unselectedItemWithData" dxfId="15"/>
            <x14:slicerStyleElement type="unselectedItemWithNoData" dxfId="14"/>
            <x14:slicerStyleElement type="selectedItemWithData" dxfId="13"/>
            <x14:slicerStyleElement type="selectedItemWithNoData" dxfId="12"/>
            <x14:slicerStyleElement type="hoveredUnselectedItemWithData" dxfId="11"/>
            <x14:slicerStyleElement type="hoveredSelectedItemWithData" dxfId="10"/>
            <x14:slicerStyleElement type="hoveredUnselectedItemWithNoData" dxfId="9"/>
            <x14:slicerStyleElement type="hoveredSelectedItemWithNoData" dxfId="8"/>
          </x14:slicerStyleElements>
        </x14:slicerStyle>
        <x14:slicerStyle name="Slicer Style 1"/>
        <x14:slicerStyle name="SlicerStyleDark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Percentages</a:t>
            </a:r>
          </a:p>
        </c:rich>
      </c:tx>
      <c:layout>
        <c:manualLayout>
          <c:xMode val="edge"/>
          <c:yMode val="edge"/>
          <c:x val="6.5359477124185479E-5"/>
          <c:y val="1.3037983650163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'Data for Dashboard'!$F$6</c:f>
              <c:strCache>
                <c:ptCount val="1"/>
                <c:pt idx="0">
                  <c:v>Percentage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 for Dashboard'!$E$7:$E$11</c:f>
              <c:strCache>
                <c:ptCount val="5"/>
                <c:pt idx="0">
                  <c:v>Material Tax</c:v>
                </c:pt>
                <c:pt idx="1">
                  <c:v>Overhead &amp; Profit (Material)</c:v>
                </c:pt>
                <c:pt idx="2">
                  <c:v>Overhead &amp; Profit (Labor)</c:v>
                </c:pt>
                <c:pt idx="3">
                  <c:v>Bond Fee</c:v>
                </c:pt>
                <c:pt idx="4">
                  <c:v>OH &amp; P on subnotes</c:v>
                </c:pt>
              </c:strCache>
            </c:strRef>
          </c:cat>
          <c:val>
            <c:numRef>
              <c:f>'Data for Dashboard'!$F$7:$F$11</c:f>
              <c:numCache>
                <c:formatCode>0.0%</c:formatCode>
                <c:ptCount val="5"/>
                <c:pt idx="0">
                  <c:v>6.6780000000000006E-2</c:v>
                </c:pt>
                <c:pt idx="1">
                  <c:v>0.25</c:v>
                </c:pt>
                <c:pt idx="2">
                  <c:v>0.25</c:v>
                </c:pt>
                <c:pt idx="3">
                  <c:v>1.4999999999999993E-2</c:v>
                </c:pt>
                <c:pt idx="4" formatCode="0%">
                  <c:v>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20-40A2-A2E3-3C03D796B42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883904048"/>
        <c:axId val="1883904528"/>
      </c:lineChart>
      <c:catAx>
        <c:axId val="188390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528"/>
        <c:crosses val="autoZero"/>
        <c:auto val="1"/>
        <c:lblAlgn val="ctr"/>
        <c:lblOffset val="100"/>
        <c:noMultiLvlLbl val="0"/>
      </c:catAx>
      <c:valAx>
        <c:axId val="1883904528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048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404632086493623E-2"/>
          <c:y val="0.12097897842288517"/>
          <c:w val="0.79383657791407203"/>
          <c:h val="0.81698759556804557"/>
        </c:manualLayout>
      </c:layout>
      <c:doughnutChart>
        <c:varyColors val="1"/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F63-4D56-83CB-08E381A43E1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37E-48BA-8C93-16BD3B98DB9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F37E-48BA-8C93-16BD3B98DB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37E-48BA-8C93-16BD3B98DB9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37E-48BA-8C93-16BD3B98DB9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F37E-48BA-8C93-16BD3B98DB9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37E-48BA-8C93-16BD3B98DB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'Data for Dashboard'!$B$4:$B$10</c:f>
              <c:strCache>
                <c:ptCount val="7"/>
                <c:pt idx="0">
                  <c:v>Type</c:v>
                </c:pt>
                <c:pt idx="1">
                  <c:v>Material</c:v>
                </c:pt>
                <c:pt idx="2">
                  <c:v>Labor</c:v>
                </c:pt>
                <c:pt idx="3">
                  <c:v>Material Tax</c:v>
                </c:pt>
                <c:pt idx="4">
                  <c:v>Overhead &amp; Profit (Material)</c:v>
                </c:pt>
                <c:pt idx="5">
                  <c:v>Overhead &amp; Profit (Labor)</c:v>
                </c:pt>
                <c:pt idx="6">
                  <c:v>Bond Fee</c:v>
                </c:pt>
              </c:strCache>
            </c:strRef>
          </c:cat>
          <c:val>
            <c:numRef>
              <c:f>'Data for Dashboard'!$D$4:$D$10</c:f>
              <c:numCache>
                <c:formatCode>0%</c:formatCode>
                <c:ptCount val="7"/>
                <c:pt idx="1">
                  <c:v>0.22772376535716388</c:v>
                </c:pt>
                <c:pt idx="2">
                  <c:v>0.54828766010387275</c:v>
                </c:pt>
                <c:pt idx="3">
                  <c:v>1.5207393050551406E-2</c:v>
                </c:pt>
                <c:pt idx="4">
                  <c:v>5.6930941339290969E-2</c:v>
                </c:pt>
                <c:pt idx="5">
                  <c:v>0.13707191502596819</c:v>
                </c:pt>
                <c:pt idx="6">
                  <c:v>1.47783251231527E-2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7E-48BA-8C93-16BD3B98DB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1F63-4D56-83CB-08E381A43E15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1F63-4D56-83CB-08E381A43E15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1F63-4D56-83CB-08E381A43E15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1F63-4D56-83CB-08E381A43E15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1F63-4D56-83CB-08E381A43E15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9-1F63-4D56-83CB-08E381A43E15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B-1F63-4D56-83CB-08E381A43E15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'Data for Dashboard'!$B$4:$B$10</c15:sqref>
                        </c15:formulaRef>
                      </c:ext>
                    </c:extLst>
                    <c:strCache>
                      <c:ptCount val="7"/>
                      <c:pt idx="0">
                        <c:v>Type</c:v>
                      </c:pt>
                      <c:pt idx="1">
                        <c:v>Material</c:v>
                      </c:pt>
                      <c:pt idx="2">
                        <c:v>Labor</c:v>
                      </c:pt>
                      <c:pt idx="3">
                        <c:v>Material Tax</c:v>
                      </c:pt>
                      <c:pt idx="4">
                        <c:v>Overhead &amp; Profit (Material)</c:v>
                      </c:pt>
                      <c:pt idx="5">
                        <c:v>Overhead &amp; Profit (Labor)</c:v>
                      </c:pt>
                      <c:pt idx="6">
                        <c:v>Bond Fee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'Data for Dashboard'!$C$4:$C$10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7"/>
                      <c:pt idx="0" formatCode="General">
                        <c:v>0</c:v>
                      </c:pt>
                      <c:pt idx="1">
                        <c:v>4330399.0744350003</c:v>
                      </c:pt>
                      <c:pt idx="2">
                        <c:v>10426247.660686901</c:v>
                      </c:pt>
                      <c:pt idx="3">
                        <c:v>289184.05019076937</c:v>
                      </c:pt>
                      <c:pt idx="4">
                        <c:v>1082599.7686087501</c:v>
                      </c:pt>
                      <c:pt idx="5">
                        <c:v>2606561.9151717252</c:v>
                      </c:pt>
                      <c:pt idx="6">
                        <c:v>281024.88703639706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37E-48BA-8C93-16BD3B98DB9F}"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Cost Summary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'COST SUMMARY'!$C$20:$C$37</c:f>
              <c:strCache>
                <c:ptCount val="18"/>
                <c:pt idx="0">
                  <c:v>General Requirements</c:v>
                </c:pt>
                <c:pt idx="1">
                  <c:v>Concrete</c:v>
                </c:pt>
                <c:pt idx="2">
                  <c:v>Metals</c:v>
                </c:pt>
                <c:pt idx="3">
                  <c:v>Wood, Plastics &amp; Composites</c:v>
                </c:pt>
                <c:pt idx="4">
                  <c:v>Thermal &amp; Moisture Protection</c:v>
                </c:pt>
                <c:pt idx="5">
                  <c:v>Openings</c:v>
                </c:pt>
                <c:pt idx="6">
                  <c:v>Finishes</c:v>
                </c:pt>
                <c:pt idx="7">
                  <c:v>Specialties</c:v>
                </c:pt>
                <c:pt idx="8">
                  <c:v>Furnishings</c:v>
                </c:pt>
                <c:pt idx="9">
                  <c:v>Fire Suppression</c:v>
                </c:pt>
                <c:pt idx="10">
                  <c:v>Plumbing</c:v>
                </c:pt>
                <c:pt idx="11">
                  <c:v>Heating, Ventilating, &amp; Air conditioning</c:v>
                </c:pt>
                <c:pt idx="12">
                  <c:v>Electrical</c:v>
                </c:pt>
                <c:pt idx="13">
                  <c:v>Communications</c:v>
                </c:pt>
                <c:pt idx="14">
                  <c:v>Electronic Safety &amp; Security</c:v>
                </c:pt>
                <c:pt idx="15">
                  <c:v>Earthwork</c:v>
                </c:pt>
                <c:pt idx="16">
                  <c:v>Exterior Improvements</c:v>
                </c:pt>
                <c:pt idx="17">
                  <c:v>Utilities</c:v>
                </c:pt>
              </c:strCache>
            </c:strRef>
          </c:cat>
          <c:val>
            <c:numRef>
              <c:f>'COST SUMMARY'!$F$20:$F$37</c:f>
              <c:numCache>
                <c:formatCode>_("$"* #,##0_);_("$"* \(#,##0\);_("$"* "-"??_);_(@_)</c:formatCode>
                <c:ptCount val="18"/>
                <c:pt idx="0">
                  <c:v>2430165.7301334674</c:v>
                </c:pt>
                <c:pt idx="1">
                  <c:v>0</c:v>
                </c:pt>
                <c:pt idx="2">
                  <c:v>12326481.004988423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66-4847-B102-4D9DD2D8C6A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161295776"/>
        <c:axId val="161302016"/>
        <c:axId val="0"/>
      </c:bar3DChart>
      <c:catAx>
        <c:axId val="16129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302016"/>
        <c:crosses val="autoZero"/>
        <c:auto val="1"/>
        <c:lblAlgn val="ctr"/>
        <c:lblOffset val="100"/>
        <c:noMultiLvlLbl val="0"/>
      </c:catAx>
      <c:valAx>
        <c:axId val="16130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95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401083</xdr:colOff>
      <xdr:row>5</xdr:row>
      <xdr:rowOff>2422</xdr:rowOff>
    </xdr:from>
    <xdr:to>
      <xdr:col>3</xdr:col>
      <xdr:colOff>289897</xdr:colOff>
      <xdr:row>9</xdr:row>
      <xdr:rowOff>167775</xdr:rowOff>
    </xdr:to>
    <xdr:sp macro="" textlink="'COST SUMMARY'!D5">
      <xdr:nvSpPr>
        <xdr:cNvPr id="12" name="Rectangle: Rounded Corners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01083" y="1051293"/>
          <a:ext cx="2094132" cy="103492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1902EB2D-1498-4DCC-B054-4F51250BA9B8}" type="TxLink">
            <a:rPr lang="en-US" sz="1400" b="1" i="0" u="none" strike="noStrike">
              <a:solidFill>
                <a:schemeClr val="tx1"/>
              </a:solidFill>
              <a:latin typeface="+mn-lt"/>
              <a:cs typeface="Segoe UI" panose="020B0502040204020203" pitchFamily="34" charset="0"/>
            </a:rPr>
            <a:pPr algn="ctr"/>
            <a:t>Trumbull Hillcrest Middle School</a:t>
          </a:fld>
          <a:endParaRPr lang="ur-PK" sz="105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7620</xdr:colOff>
      <xdr:row>10</xdr:row>
      <xdr:rowOff>121920</xdr:rowOff>
    </xdr:from>
    <xdr:to>
      <xdr:col>18</xdr:col>
      <xdr:colOff>685800</xdr:colOff>
      <xdr:row>10</xdr:row>
      <xdr:rowOff>121920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7620" y="2232660"/>
          <a:ext cx="1384554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4</xdr:row>
      <xdr:rowOff>99060</xdr:rowOff>
    </xdr:from>
    <xdr:to>
      <xdr:col>18</xdr:col>
      <xdr:colOff>685800</xdr:colOff>
      <xdr:row>4</xdr:row>
      <xdr:rowOff>99060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7620" y="943610"/>
          <a:ext cx="1368298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383268</xdr:colOff>
      <xdr:row>22</xdr:row>
      <xdr:rowOff>190500</xdr:rowOff>
    </xdr:from>
    <xdr:to>
      <xdr:col>7</xdr:col>
      <xdr:colOff>371930</xdr:colOff>
      <xdr:row>37</xdr:row>
      <xdr:rowOff>4884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3</xdr:col>
      <xdr:colOff>439270</xdr:colOff>
      <xdr:row>4</xdr:row>
      <xdr:rowOff>181717</xdr:rowOff>
    </xdr:from>
    <xdr:to>
      <xdr:col>6</xdr:col>
      <xdr:colOff>345230</xdr:colOff>
      <xdr:row>9</xdr:row>
      <xdr:rowOff>149846</xdr:rowOff>
    </xdr:to>
    <xdr:sp macro="" textlink="'COST SUMMARY'!D4">
      <xdr:nvSpPr>
        <xdr:cNvPr id="20" name="Rectangle: Rounded Corners 1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44588" y="1033364"/>
          <a:ext cx="2111277" cy="1034929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0DEE40F-1C4B-48F8-9CE2-D2E98DABD0E4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06/12/2025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</xdr:col>
      <xdr:colOff>453571</xdr:colOff>
      <xdr:row>8</xdr:row>
      <xdr:rowOff>27214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170214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latin typeface="+mn-lt"/>
          </a:endParaRPr>
        </a:p>
      </xdr:txBody>
    </xdr:sp>
    <xdr:clientData/>
  </xdr:oneCellAnchor>
  <xdr:twoCellAnchor editAs="absolute">
    <xdr:from>
      <xdr:col>6</xdr:col>
      <xdr:colOff>477883</xdr:colOff>
      <xdr:row>5</xdr:row>
      <xdr:rowOff>2</xdr:rowOff>
    </xdr:from>
    <xdr:to>
      <xdr:col>9</xdr:col>
      <xdr:colOff>360982</xdr:colOff>
      <xdr:row>9</xdr:row>
      <xdr:rowOff>167777</xdr:rowOff>
    </xdr:to>
    <xdr:sp macro="" textlink="'COST SUMMARY'!L6">
      <xdr:nvSpPr>
        <xdr:cNvPr id="23" name="Rectangle: Rounded Corners 1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4762500" y="1043216"/>
          <a:ext cx="2048268" cy="10099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83A79BE-2A4A-4D76-8606-07A6EEE87078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$19,016,017 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9</xdr:col>
      <xdr:colOff>474617</xdr:colOff>
      <xdr:row>5</xdr:row>
      <xdr:rowOff>20502</xdr:rowOff>
    </xdr:from>
    <xdr:to>
      <xdr:col>12</xdr:col>
      <xdr:colOff>397722</xdr:colOff>
      <xdr:row>9</xdr:row>
      <xdr:rowOff>174942</xdr:rowOff>
    </xdr:to>
    <xdr:sp macro="" textlink="'COST SUMMARY'!L4">
      <xdr:nvSpPr>
        <xdr:cNvPr id="32" name="Rectangle: Rounded Corners 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939643" y="1052286"/>
          <a:ext cx="2048268" cy="100996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5C55B40-6FC2-4CEC-A10E-300B3D7CAB5B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Federal Prevailing Wage)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12</xdr:col>
      <xdr:colOff>515620</xdr:colOff>
      <xdr:row>5</xdr:row>
      <xdr:rowOff>20502</xdr:rowOff>
    </xdr:from>
    <xdr:to>
      <xdr:col>15</xdr:col>
      <xdr:colOff>398719</xdr:colOff>
      <xdr:row>9</xdr:row>
      <xdr:rowOff>174942</xdr:rowOff>
    </xdr:to>
    <xdr:sp macro="" textlink="'COST SUMMARY'!D6">
      <xdr:nvSpPr>
        <xdr:cNvPr id="33" name="Rectangle: Rounded Corners 1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9107714" y="1052286"/>
          <a:ext cx="2048268" cy="1009967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D0C76CD0-574D-4B99-BABE-CA94C7F33062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530 Daniels Farm Road, Trumbull, CT 06611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15</xdr:col>
      <xdr:colOff>535213</xdr:colOff>
      <xdr:row>5</xdr:row>
      <xdr:rowOff>20502</xdr:rowOff>
    </xdr:from>
    <xdr:to>
      <xdr:col>18</xdr:col>
      <xdr:colOff>342838</xdr:colOff>
      <xdr:row>9</xdr:row>
      <xdr:rowOff>174942</xdr:rowOff>
    </xdr:to>
    <xdr:sp macro="" textlink="'COST SUMMARY'!L5">
      <xdr:nvSpPr>
        <xdr:cNvPr id="34" name="Rectangle: Rounded Corners 1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1284856" y="1052286"/>
          <a:ext cx="2048268" cy="1009967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735D94A9-28B8-4AFD-8E4F-1980FA0F140C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GC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0</xdr:col>
      <xdr:colOff>423854</xdr:colOff>
      <xdr:row>5</xdr:row>
      <xdr:rowOff>1970</xdr:rowOff>
    </xdr:from>
    <xdr:ext cx="1053237" cy="280205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3854" y="1026729"/>
          <a:ext cx="1053237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latin typeface="+mn-lt"/>
              <a:cs typeface="Segoe UI" panose="020B0502040204020203" pitchFamily="34" charset="0"/>
            </a:rPr>
            <a:t>Project Name</a:t>
          </a:r>
        </a:p>
      </xdr:txBody>
    </xdr:sp>
    <xdr:clientData/>
  </xdr:oneCellAnchor>
  <xdr:oneCellAnchor>
    <xdr:from>
      <xdr:col>3</xdr:col>
      <xdr:colOff>444499</xdr:colOff>
      <xdr:row>4</xdr:row>
      <xdr:rowOff>190874</xdr:rowOff>
    </xdr:from>
    <xdr:ext cx="488467" cy="280205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2696881" y="1020109"/>
          <a:ext cx="488467" cy="280205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Date</a:t>
          </a:r>
        </a:p>
      </xdr:txBody>
    </xdr:sp>
    <xdr:clientData/>
  </xdr:oneCellAnchor>
  <xdr:oneCellAnchor>
    <xdr:from>
      <xdr:col>6</xdr:col>
      <xdr:colOff>469899</xdr:colOff>
      <xdr:row>4</xdr:row>
      <xdr:rowOff>190874</xdr:rowOff>
    </xdr:from>
    <xdr:ext cx="727122" cy="280205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974664" y="1020109"/>
          <a:ext cx="727122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Base</a:t>
          </a:r>
          <a:r>
            <a:rPr lang="en-US" sz="1200" b="1">
              <a:solidFill>
                <a:schemeClr val="bg1"/>
              </a:solidFill>
              <a:latin typeface="+mn-lt"/>
              <a:cs typeface="Segoe UI" panose="020B0502040204020203" pitchFamily="34" charset="0"/>
            </a:rPr>
            <a:t> </a:t>
          </a:r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Bid</a:t>
          </a:r>
        </a:p>
      </xdr:txBody>
    </xdr:sp>
    <xdr:clientData/>
  </xdr:oneCellAnchor>
  <xdr:oneCellAnchor>
    <xdr:from>
      <xdr:col>9</xdr:col>
      <xdr:colOff>463549</xdr:colOff>
      <xdr:row>4</xdr:row>
      <xdr:rowOff>195730</xdr:rowOff>
    </xdr:from>
    <xdr:ext cx="982385" cy="280205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7220696" y="1024965"/>
          <a:ext cx="982385" cy="28020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Project</a:t>
          </a:r>
          <a:r>
            <a:rPr lang="en-US" sz="1200" b="1" baseline="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 Type</a:t>
          </a:r>
          <a:endParaRPr lang="en-US" sz="12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oneCellAnchor>
  <xdr:oneCellAnchor>
    <xdr:from>
      <xdr:col>12</xdr:col>
      <xdr:colOff>489825</xdr:colOff>
      <xdr:row>4</xdr:row>
      <xdr:rowOff>194236</xdr:rowOff>
    </xdr:from>
    <xdr:ext cx="697948" cy="280205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9554997" y="1021926"/>
          <a:ext cx="697948" cy="28020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Address</a:t>
          </a:r>
        </a:p>
      </xdr:txBody>
    </xdr:sp>
    <xdr:clientData/>
  </xdr:oneCellAnchor>
  <xdr:oneCellAnchor>
    <xdr:from>
      <xdr:col>15</xdr:col>
      <xdr:colOff>520700</xdr:colOff>
      <xdr:row>5</xdr:row>
      <xdr:rowOff>1868</xdr:rowOff>
    </xdr:from>
    <xdr:ext cx="1116268" cy="280205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1782612" y="1032809"/>
          <a:ext cx="1116268" cy="280205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Scope of Work</a:t>
          </a:r>
        </a:p>
      </xdr:txBody>
    </xdr:sp>
    <xdr:clientData/>
  </xdr:oneCellAnchor>
  <xdr:twoCellAnchor>
    <xdr:from>
      <xdr:col>10</xdr:col>
      <xdr:colOff>352962</xdr:colOff>
      <xdr:row>37</xdr:row>
      <xdr:rowOff>122051</xdr:rowOff>
    </xdr:from>
    <xdr:to>
      <xdr:col>16</xdr:col>
      <xdr:colOff>188851</xdr:colOff>
      <xdr:row>40</xdr:row>
      <xdr:rowOff>58551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11144" y="7672778"/>
          <a:ext cx="4176980" cy="5253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705972</xdr:colOff>
      <xdr:row>37</xdr:row>
      <xdr:rowOff>56030</xdr:rowOff>
    </xdr:from>
    <xdr:to>
      <xdr:col>7</xdr:col>
      <xdr:colOff>365646</xdr:colOff>
      <xdr:row>40</xdr:row>
      <xdr:rowOff>59691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705972" y="7563971"/>
          <a:ext cx="4836792" cy="5975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15</xdr:col>
      <xdr:colOff>28516</xdr:colOff>
      <xdr:row>11</xdr:row>
      <xdr:rowOff>223316</xdr:rowOff>
    </xdr:from>
    <xdr:to>
      <xdr:col>18</xdr:col>
      <xdr:colOff>304521</xdr:colOff>
      <xdr:row>14</xdr:row>
      <xdr:rowOff>97042</xdr:rowOff>
    </xdr:to>
    <xdr:sp macro="" textlink="'COST SUMMARY'!E38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1315641" y="2518841"/>
          <a:ext cx="2609630" cy="559526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2AF80FDA-E973-421C-82E6-1CE4A90EAF8A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$4,330,399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7</xdr:col>
      <xdr:colOff>598025</xdr:colOff>
      <xdr:row>11</xdr:row>
      <xdr:rowOff>228600</xdr:rowOff>
    </xdr:from>
    <xdr:to>
      <xdr:col>14</xdr:col>
      <xdr:colOff>598715</xdr:colOff>
      <xdr:row>37</xdr:row>
      <xdr:rowOff>161925</xdr:rowOff>
    </xdr:to>
    <xdr:graphicFrame macro="">
      <xdr:nvGraphicFramePr>
        <xdr:cNvPr id="54" name="Chart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15</xdr:col>
      <xdr:colOff>20469</xdr:colOff>
      <xdr:row>11</xdr:row>
      <xdr:rowOff>225460</xdr:rowOff>
    </xdr:from>
    <xdr:ext cx="1536661" cy="602799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1326230" y="2519743"/>
          <a:ext cx="1536661" cy="60279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</a:p>
      </xdr:txBody>
    </xdr:sp>
    <xdr:clientData/>
  </xdr:oneCellAnchor>
  <xdr:twoCellAnchor>
    <xdr:from>
      <xdr:col>15</xdr:col>
      <xdr:colOff>43928</xdr:colOff>
      <xdr:row>16</xdr:row>
      <xdr:rowOff>61598</xdr:rowOff>
    </xdr:from>
    <xdr:to>
      <xdr:col>18</xdr:col>
      <xdr:colOff>319933</xdr:colOff>
      <xdr:row>19</xdr:row>
      <xdr:rowOff>22410</xdr:rowOff>
    </xdr:to>
    <xdr:sp macro="" textlink="'COST SUMMARY'!D38">
      <xdr:nvSpPr>
        <xdr:cNvPr id="56" name="Rectang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10984071" y="3425284"/>
          <a:ext cx="2551119" cy="548640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1DF2909F-5ADE-4FB0-BDC2-66594137DBF8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$10,426,248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16</xdr:row>
      <xdr:rowOff>54797</xdr:rowOff>
    </xdr:from>
    <xdr:ext cx="1512473" cy="557784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11341642" y="3450667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</a:t>
          </a:r>
        </a:p>
      </xdr:txBody>
    </xdr:sp>
    <xdr:clientData/>
  </xdr:oneCellAnchor>
  <xdr:twoCellAnchor>
    <xdr:from>
      <xdr:col>15</xdr:col>
      <xdr:colOff>43928</xdr:colOff>
      <xdr:row>20</xdr:row>
      <xdr:rowOff>182909</xdr:rowOff>
    </xdr:from>
    <xdr:to>
      <xdr:col>18</xdr:col>
      <xdr:colOff>319933</xdr:colOff>
      <xdr:row>23</xdr:row>
      <xdr:rowOff>78406</xdr:rowOff>
    </xdr:to>
    <xdr:sp macro="" textlink="'COST SUMMARY'!F39">
      <xdr:nvSpPr>
        <xdr:cNvPr id="58" name="Rectang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10984071" y="4330366"/>
          <a:ext cx="2551119" cy="54864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56C18716-F7A6-468B-B58C-561736995BB2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$289,184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20</xdr:row>
      <xdr:rowOff>184391</xdr:rowOff>
    </xdr:from>
    <xdr:ext cx="1512473" cy="557784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1008681" y="436015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 Tax</a:t>
          </a:r>
        </a:p>
      </xdr:txBody>
    </xdr:sp>
    <xdr:clientData/>
  </xdr:oneCellAnchor>
  <xdr:twoCellAnchor>
    <xdr:from>
      <xdr:col>15</xdr:col>
      <xdr:colOff>54814</xdr:colOff>
      <xdr:row>25</xdr:row>
      <xdr:rowOff>42962</xdr:rowOff>
    </xdr:from>
    <xdr:to>
      <xdr:col>18</xdr:col>
      <xdr:colOff>330819</xdr:colOff>
      <xdr:row>27</xdr:row>
      <xdr:rowOff>167059</xdr:rowOff>
    </xdr:to>
    <xdr:sp macro="" textlink="'COST SUMMARY'!F40">
      <xdr:nvSpPr>
        <xdr:cNvPr id="60" name="Rectang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10994957" y="5235448"/>
          <a:ext cx="2551119" cy="54864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050ACC7F-05D1-4092-856F-9A0FA36A0215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$1,082,600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25</xdr:row>
      <xdr:rowOff>44444</xdr:rowOff>
    </xdr:from>
    <xdr:ext cx="1512473" cy="557784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1019567" y="5271764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Profit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15</xdr:col>
      <xdr:colOff>54814</xdr:colOff>
      <xdr:row>29</xdr:row>
      <xdr:rowOff>131616</xdr:rowOff>
    </xdr:from>
    <xdr:to>
      <xdr:col>18</xdr:col>
      <xdr:colOff>330819</xdr:colOff>
      <xdr:row>32</xdr:row>
      <xdr:rowOff>92427</xdr:rowOff>
    </xdr:to>
    <xdr:sp macro="" textlink="'COST SUMMARY'!F41">
      <xdr:nvSpPr>
        <xdr:cNvPr id="62" name="Rectang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10994957" y="6140530"/>
          <a:ext cx="2551119" cy="54864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A9EAC16A-A07E-41B0-A80A-8BA3141E54C0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$2,606,562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29</xdr:row>
      <xdr:rowOff>133098</xdr:rowOff>
    </xdr:from>
    <xdr:ext cx="1512473" cy="557784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1019567" y="6183378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 Profit</a:t>
          </a:r>
        </a:p>
      </xdr:txBody>
    </xdr:sp>
    <xdr:clientData/>
  </xdr:oneCellAnchor>
  <xdr:twoCellAnchor>
    <xdr:from>
      <xdr:col>15</xdr:col>
      <xdr:colOff>43928</xdr:colOff>
      <xdr:row>34</xdr:row>
      <xdr:rowOff>13439</xdr:rowOff>
    </xdr:from>
    <xdr:to>
      <xdr:col>18</xdr:col>
      <xdr:colOff>319933</xdr:colOff>
      <xdr:row>36</xdr:row>
      <xdr:rowOff>170193</xdr:rowOff>
    </xdr:to>
    <xdr:sp macro="" textlink="'BASE BID'!R241">
      <xdr:nvSpPr>
        <xdr:cNvPr id="64" name="Rectang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10984071" y="7045610"/>
          <a:ext cx="2551119" cy="548640"/>
        </a:xfrm>
        <a:prstGeom prst="rect">
          <a:avLst/>
        </a:prstGeom>
        <a:solidFill>
          <a:srgbClr val="996600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45A2797F-00D5-42F5-9898-110879AFFCDD}" type="TxLink">
            <a:rPr lang="en-US" sz="1200" b="1" i="0" u="none" strike="noStrike">
              <a:solidFill>
                <a:schemeClr val="bg1"/>
              </a:solidFill>
              <a:latin typeface="+mn-lt"/>
              <a:cs typeface="Calibri"/>
            </a:rPr>
            <a:pPr algn="r"/>
            <a:t> $281,025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34</xdr:row>
      <xdr:rowOff>14921</xdr:rowOff>
    </xdr:from>
    <xdr:ext cx="1512473" cy="557784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1008681" y="710152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Bond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Fee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0</xdr:col>
      <xdr:colOff>426720</xdr:colOff>
      <xdr:row>12</xdr:row>
      <xdr:rowOff>95281</xdr:rowOff>
    </xdr:from>
    <xdr:to>
      <xdr:col>7</xdr:col>
      <xdr:colOff>237196</xdr:colOff>
      <xdr:row>21</xdr:row>
      <xdr:rowOff>68580</xdr:rowOff>
    </xdr:to>
    <xdr:grpSp>
      <xdr:nvGrpSpPr>
        <xdr:cNvPr id="69" name="Group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/>
      </xdr:nvGrpSpPr>
      <xdr:grpSpPr>
        <a:xfrm>
          <a:off x="426720" y="2677116"/>
          <a:ext cx="4956217" cy="1784170"/>
          <a:chOff x="628858" y="2663813"/>
          <a:chExt cx="4729061" cy="2268533"/>
        </a:xfrm>
      </xdr:grpSpPr>
      <xdr:sp macro="" textlink="">
        <xdr:nvSpPr>
          <xdr:cNvPr id="70" name="Freeform: Shape 69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/>
        </xdr:nvSpPr>
        <xdr:spPr>
          <a:xfrm>
            <a:off x="635074" y="267467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Base Bid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'COST SUMMARY'!D10">
        <xdr:nvSpPr>
          <xdr:cNvPr id="72" name="Freeform: Shape 71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/>
        </xdr:nvSpPr>
        <xdr:spPr>
          <a:xfrm>
            <a:off x="3030933" y="2663813"/>
            <a:ext cx="2326986" cy="512953"/>
          </a:xfrm>
          <a:custGeom>
            <a:avLst/>
            <a:gdLst>
              <a:gd name="connsiteX0" fmla="*/ 0 w 2077736"/>
              <a:gd name="connsiteY0" fmla="*/ 0 h 512953"/>
              <a:gd name="connsiteX1" fmla="*/ 2077736 w 2077736"/>
              <a:gd name="connsiteY1" fmla="*/ 0 h 512953"/>
              <a:gd name="connsiteX2" fmla="*/ 2077736 w 2077736"/>
              <a:gd name="connsiteY2" fmla="*/ 512953 h 512953"/>
              <a:gd name="connsiteX3" fmla="*/ 0 w 2077736"/>
              <a:gd name="connsiteY3" fmla="*/ 512953 h 512953"/>
              <a:gd name="connsiteX4" fmla="*/ 0 w 2077736"/>
              <a:gd name="connsiteY4" fmla="*/ 0 h 51295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077736" h="512953">
                <a:moveTo>
                  <a:pt x="0" y="0"/>
                </a:moveTo>
                <a:lnTo>
                  <a:pt x="2077736" y="0"/>
                </a:lnTo>
                <a:lnTo>
                  <a:pt x="2077736" y="512953"/>
                </a:lnTo>
                <a:lnTo>
                  <a:pt x="0" y="512953"/>
                </a:lnTo>
                <a:lnTo>
                  <a:pt x="0" y="0"/>
                </a:lnTo>
                <a:close/>
              </a:path>
            </a:pathLst>
          </a:custGeom>
          <a:noFill/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175260" tIns="175260" rIns="175260" bIns="175260" numCol="1" spcCol="1270" anchor="ctr" anchorCtr="0">
            <a:noAutofit/>
          </a:bodyPr>
          <a:lstStyle/>
          <a:p>
            <a:pPr algn="r" rtl="0"/>
            <a:fld id="{51D7562B-E33C-471F-BEE2-C9B8241A4D20}" type="TxLink">
              <a:rPr lang="en-US" sz="1600" b="1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Segoe UI" panose="020B0502040204020203" pitchFamily="34" charset="0"/>
              </a:rPr>
              <a:pPr algn="r" rtl="0"/>
              <a:t> $19,016,017 </a:t>
            </a:fld>
            <a:endParaRPr lang="ur-PK" sz="1600" b="1">
              <a:solidFill>
                <a:sysClr val="windowText" lastClr="000000"/>
              </a:solidFill>
              <a:effectLst/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3" name="Freeform: Shape 7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/>
        </xdr:nvSpPr>
        <xdr:spPr>
          <a:xfrm>
            <a:off x="628858" y="3547248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By Others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6" name="Freeform: Shape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/>
        </xdr:nvSpPr>
        <xdr:spPr>
          <a:xfrm>
            <a:off x="628858" y="441982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Separate Permit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</xdr:grpSp>
    <xdr:clientData/>
  </xdr:twoCellAnchor>
  <xdr:twoCellAnchor>
    <xdr:from>
      <xdr:col>0</xdr:col>
      <xdr:colOff>268941</xdr:colOff>
      <xdr:row>38</xdr:row>
      <xdr:rowOff>78440</xdr:rowOff>
    </xdr:from>
    <xdr:to>
      <xdr:col>18</xdr:col>
      <xdr:colOff>403411</xdr:colOff>
      <xdr:row>75</xdr:row>
      <xdr:rowOff>112058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8581636A-E86D-4A7E-980C-F295924D02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0.08738</cdr:x>
      <cdr:y>0</cdr:y>
    </cdr:from>
    <cdr:to>
      <cdr:x>0.92114</cdr:x>
      <cdr:y>0.10022</cdr:y>
    </cdr:to>
    <cdr:sp macro="" textlink="">
      <cdr:nvSpPr>
        <cdr:cNvPr id="2" name="TextBox 1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11000000}"/>
            </a:ext>
          </a:extLst>
        </cdr:cNvPr>
        <cdr:cNvSpPr txBox="1"/>
      </cdr:nvSpPr>
      <cdr:spPr>
        <a:xfrm xmlns:a="http://schemas.openxmlformats.org/drawingml/2006/main">
          <a:off x="459304" y="0"/>
          <a:ext cx="4382450" cy="515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800" b="1">
              <a:latin typeface="Segoe UI" panose="020B0502040204020203" pitchFamily="34" charset="0"/>
              <a:cs typeface="Segoe UI" panose="020B0502040204020203" pitchFamily="34" charset="0"/>
            </a:rPr>
            <a:t>Cost Break-up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E36C09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92D050"/>
    <pageSetUpPr fitToPage="1"/>
  </sheetPr>
  <dimension ref="A1:U343"/>
  <sheetViews>
    <sheetView tabSelected="1" zoomScale="40" zoomScaleNormal="40" zoomScaleSheetLayoutView="40" workbookViewId="0">
      <pane ySplit="1" topLeftCell="A209" activePane="bottomLeft" state="frozen"/>
      <selection pane="bottomLeft" activeCell="G224" sqref="G224"/>
    </sheetView>
  </sheetViews>
  <sheetFormatPr defaultColWidth="8.90625" defaultRowHeight="15.6" x14ac:dyDescent="0.25"/>
  <cols>
    <col min="1" max="1" width="14.1796875" style="4" customWidth="1"/>
    <col min="2" max="2" width="23.90625" style="4" customWidth="1"/>
    <col min="3" max="3" width="25.54296875" style="4" customWidth="1"/>
    <col min="4" max="4" width="14.90625" style="4" bestFit="1" customWidth="1"/>
    <col min="5" max="5" width="36.26953125" style="4" customWidth="1"/>
    <col min="6" max="6" width="73.453125" style="6" customWidth="1"/>
    <col min="7" max="8" width="9.90625" style="5" bestFit="1" customWidth="1"/>
    <col min="9" max="9" width="13.26953125" style="5" bestFit="1" customWidth="1"/>
    <col min="10" max="10" width="14.453125" style="4" customWidth="1"/>
    <col min="11" max="11" width="16.45312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7.36328125" style="6" bestFit="1" customWidth="1"/>
    <col min="17" max="17" width="16.7265625" style="6" bestFit="1" customWidth="1"/>
    <col min="18" max="18" width="16.7265625" style="1" bestFit="1" customWidth="1"/>
    <col min="19" max="20" width="21.7265625" style="1" bestFit="1" customWidth="1"/>
    <col min="21" max="21" width="12.6328125" style="1" bestFit="1" customWidth="1"/>
    <col min="22" max="16384" width="8.90625" style="1"/>
  </cols>
  <sheetData>
    <row r="1" spans="1:21" s="3" customFormat="1" ht="46.8" x14ac:dyDescent="0.25">
      <c r="A1" s="48" t="s">
        <v>179</v>
      </c>
      <c r="B1" s="48" t="s">
        <v>180</v>
      </c>
      <c r="C1" s="48" t="s">
        <v>181</v>
      </c>
      <c r="D1" s="48" t="s">
        <v>182</v>
      </c>
      <c r="E1" s="48" t="s">
        <v>83</v>
      </c>
      <c r="F1" s="48" t="s">
        <v>183</v>
      </c>
      <c r="G1" s="53" t="s">
        <v>184</v>
      </c>
      <c r="H1" s="53" t="s">
        <v>185</v>
      </c>
      <c r="I1" s="53" t="s">
        <v>186</v>
      </c>
      <c r="J1" s="48" t="s">
        <v>187</v>
      </c>
      <c r="K1" s="53" t="s">
        <v>188</v>
      </c>
      <c r="L1" s="53" t="s">
        <v>189</v>
      </c>
      <c r="M1" s="53" t="s">
        <v>190</v>
      </c>
      <c r="N1" s="53" t="s">
        <v>191</v>
      </c>
      <c r="O1" s="54" t="s">
        <v>192</v>
      </c>
      <c r="P1" s="54" t="s">
        <v>193</v>
      </c>
      <c r="Q1" s="48" t="s">
        <v>194</v>
      </c>
      <c r="R1" s="48" t="s">
        <v>195</v>
      </c>
      <c r="S1" s="122" t="s">
        <v>196</v>
      </c>
      <c r="T1" s="123" t="s">
        <v>197</v>
      </c>
      <c r="U1" s="2"/>
    </row>
    <row r="2" spans="1:21" s="39" customFormat="1" ht="21" x14ac:dyDescent="0.2">
      <c r="A2" s="327" t="s">
        <v>198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9"/>
      <c r="S2" s="124"/>
      <c r="T2" s="125"/>
    </row>
    <row r="3" spans="1:21" ht="21" x14ac:dyDescent="0.4">
      <c r="A3" s="90"/>
      <c r="B3" s="331" t="s">
        <v>199</v>
      </c>
      <c r="C3" s="331"/>
      <c r="D3" s="331"/>
      <c r="E3" s="331"/>
      <c r="F3" s="228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1"/>
      <c r="S3" s="124"/>
      <c r="T3" s="125"/>
    </row>
    <row r="4" spans="1:21" ht="23.4" x14ac:dyDescent="0.4">
      <c r="A4" s="90"/>
      <c r="B4" s="33"/>
      <c r="C4" s="165"/>
      <c r="D4" s="166" t="s">
        <v>200</v>
      </c>
      <c r="E4" s="167">
        <f>Q237</f>
        <v>14756646.735121889</v>
      </c>
      <c r="F4" s="229"/>
      <c r="G4" s="120"/>
      <c r="H4" s="33"/>
      <c r="I4" s="179"/>
      <c r="J4" s="180" t="s">
        <v>15</v>
      </c>
      <c r="K4" s="109">
        <v>45997</v>
      </c>
      <c r="L4" s="181"/>
      <c r="M4" s="182"/>
      <c r="N4" s="182"/>
      <c r="O4" s="182"/>
      <c r="P4" s="182"/>
      <c r="Q4" s="183"/>
      <c r="R4" s="134"/>
      <c r="S4" s="124"/>
      <c r="T4" s="125"/>
    </row>
    <row r="5" spans="1:21" ht="21" x14ac:dyDescent="0.4">
      <c r="A5" s="90"/>
      <c r="B5" s="168"/>
      <c r="C5" s="135" t="s">
        <v>201</v>
      </c>
      <c r="D5" s="29">
        <v>6.6780000000000006E-2</v>
      </c>
      <c r="E5" s="23">
        <f>P237*D5</f>
        <v>289184.05019076937</v>
      </c>
      <c r="F5" s="230" t="s">
        <v>202</v>
      </c>
      <c r="G5" s="120"/>
      <c r="H5" s="168"/>
      <c r="I5" s="136"/>
      <c r="J5" s="137" t="s">
        <v>17</v>
      </c>
      <c r="K5" s="138" t="s">
        <v>819</v>
      </c>
      <c r="L5" s="139"/>
      <c r="M5" s="140"/>
      <c r="N5" s="140"/>
      <c r="O5" s="140"/>
      <c r="P5" s="140"/>
      <c r="Q5" s="184"/>
      <c r="R5" s="134"/>
      <c r="S5" s="124"/>
      <c r="T5" s="125"/>
    </row>
    <row r="6" spans="1:21" ht="21" x14ac:dyDescent="0.4">
      <c r="A6" s="90"/>
      <c r="B6" s="168"/>
      <c r="C6" s="135" t="s">
        <v>203</v>
      </c>
      <c r="D6" s="30">
        <v>0.25</v>
      </c>
      <c r="E6" s="23">
        <f>P237*D6</f>
        <v>1082599.7686087501</v>
      </c>
      <c r="F6" s="230" t="s">
        <v>204</v>
      </c>
      <c r="G6" s="120"/>
      <c r="H6" s="168"/>
      <c r="I6" s="136"/>
      <c r="J6" s="137" t="s">
        <v>19</v>
      </c>
      <c r="K6" s="141" t="s">
        <v>820</v>
      </c>
      <c r="L6" s="139"/>
      <c r="M6" s="140"/>
      <c r="N6" s="140"/>
      <c r="O6" s="140"/>
      <c r="P6" s="140"/>
      <c r="Q6" s="184"/>
      <c r="R6" s="134"/>
      <c r="S6" s="124"/>
      <c r="T6" s="125"/>
    </row>
    <row r="7" spans="1:21" ht="21" x14ac:dyDescent="0.4">
      <c r="A7" s="90"/>
      <c r="B7" s="168"/>
      <c r="C7" s="135" t="s">
        <v>205</v>
      </c>
      <c r="D7" s="30">
        <v>0.25</v>
      </c>
      <c r="E7" s="24">
        <f>N237*D7</f>
        <v>2606561.9151717233</v>
      </c>
      <c r="F7" s="230" t="s">
        <v>204</v>
      </c>
      <c r="G7" s="120"/>
      <c r="H7" s="168"/>
      <c r="I7" s="136"/>
      <c r="J7" s="137" t="s">
        <v>206</v>
      </c>
      <c r="K7" s="142" t="s">
        <v>925</v>
      </c>
      <c r="L7" s="139"/>
      <c r="M7" s="140"/>
      <c r="N7" s="140"/>
      <c r="O7" s="140"/>
      <c r="P7" s="140"/>
      <c r="Q7" s="184"/>
      <c r="R7" s="134"/>
      <c r="S7" s="124"/>
      <c r="T7" s="125"/>
    </row>
    <row r="8" spans="1:21" ht="21.6" thickBot="1" x14ac:dyDescent="0.45">
      <c r="A8" s="90"/>
      <c r="B8" s="168"/>
      <c r="C8" s="31" t="s">
        <v>12</v>
      </c>
      <c r="D8" s="32">
        <v>1.4999999999999999E-2</v>
      </c>
      <c r="E8" s="25">
        <f>(E4+E5+E6+E7)*D8</f>
        <v>281024.88703639701</v>
      </c>
      <c r="F8" s="230" t="s">
        <v>207</v>
      </c>
      <c r="G8" s="120"/>
      <c r="H8" s="168"/>
      <c r="I8" s="136"/>
      <c r="J8" s="137"/>
      <c r="K8" s="142"/>
      <c r="L8" s="139"/>
      <c r="M8" s="140"/>
      <c r="N8" s="140"/>
      <c r="O8" s="140"/>
      <c r="P8" s="140"/>
      <c r="Q8" s="184"/>
      <c r="R8" s="134"/>
      <c r="S8" s="124"/>
      <c r="T8" s="125"/>
    </row>
    <row r="9" spans="1:21" ht="26.4" thickTop="1" x14ac:dyDescent="0.35">
      <c r="A9" s="90"/>
      <c r="B9" s="36"/>
      <c r="C9" s="169"/>
      <c r="D9" s="170" t="s">
        <v>208</v>
      </c>
      <c r="E9" s="171">
        <f>E4+E5+E6+E7+E8</f>
        <v>19016017.356129531</v>
      </c>
      <c r="F9" s="97"/>
      <c r="G9" s="120"/>
      <c r="H9" s="168"/>
      <c r="I9" s="136"/>
      <c r="J9" s="143" t="s">
        <v>209</v>
      </c>
      <c r="K9" s="26"/>
      <c r="L9" s="139"/>
      <c r="M9" s="140"/>
      <c r="N9" s="140"/>
      <c r="O9" s="140"/>
      <c r="P9" s="140"/>
      <c r="Q9" s="184"/>
      <c r="R9" s="134"/>
      <c r="S9" s="124"/>
      <c r="T9" s="125"/>
    </row>
    <row r="10" spans="1:21" ht="18" x14ac:dyDescent="0.35">
      <c r="A10" s="90"/>
      <c r="B10" s="121"/>
      <c r="C10" s="121"/>
      <c r="D10" s="121"/>
      <c r="E10" s="121"/>
      <c r="F10" s="121"/>
      <c r="G10" s="120"/>
      <c r="H10" s="168"/>
      <c r="I10" s="136"/>
      <c r="J10" s="143" t="s">
        <v>210</v>
      </c>
      <c r="K10" s="118">
        <v>139283</v>
      </c>
      <c r="L10" s="139"/>
      <c r="M10" s="140"/>
      <c r="N10" s="140"/>
      <c r="O10" s="140"/>
      <c r="P10" s="140"/>
      <c r="Q10" s="184"/>
      <c r="R10" s="134"/>
      <c r="S10" s="124"/>
      <c r="T10" s="125"/>
    </row>
    <row r="11" spans="1:21" ht="18" x14ac:dyDescent="0.35">
      <c r="A11" s="90"/>
      <c r="B11" s="33"/>
      <c r="C11" s="34" t="s">
        <v>211</v>
      </c>
      <c r="D11" s="35">
        <v>0</v>
      </c>
      <c r="E11" s="172" t="s">
        <v>212</v>
      </c>
      <c r="F11" s="229"/>
      <c r="G11" s="120"/>
      <c r="H11" s="168"/>
      <c r="I11" s="136"/>
      <c r="J11" s="144" t="s">
        <v>213</v>
      </c>
      <c r="K11" s="27">
        <v>1</v>
      </c>
      <c r="L11" s="139"/>
      <c r="M11" s="140"/>
      <c r="N11" s="140"/>
      <c r="O11" s="140"/>
      <c r="P11" s="140"/>
      <c r="Q11" s="184"/>
      <c r="R11" s="134"/>
      <c r="S11" s="124"/>
      <c r="T11" s="125"/>
    </row>
    <row r="12" spans="1:21" ht="18" x14ac:dyDescent="0.35">
      <c r="A12" s="90"/>
      <c r="B12" s="36"/>
      <c r="C12" s="37" t="s">
        <v>214</v>
      </c>
      <c r="D12" s="38">
        <v>0.05</v>
      </c>
      <c r="E12" s="145" t="s">
        <v>215</v>
      </c>
      <c r="F12" s="81"/>
      <c r="G12" s="120"/>
      <c r="H12" s="168"/>
      <c r="I12" s="136"/>
      <c r="J12" s="144" t="s">
        <v>216</v>
      </c>
      <c r="K12" s="28"/>
      <c r="L12" s="139"/>
      <c r="M12" s="140"/>
      <c r="N12" s="140"/>
      <c r="O12" s="140"/>
      <c r="P12" s="140"/>
      <c r="Q12" s="184"/>
      <c r="R12" s="134"/>
      <c r="S12" s="124"/>
      <c r="T12" s="125"/>
    </row>
    <row r="13" spans="1:21" ht="18" x14ac:dyDescent="0.35">
      <c r="A13" s="90"/>
      <c r="B13" s="173" t="s">
        <v>217</v>
      </c>
      <c r="C13" s="174"/>
      <c r="D13" s="174"/>
      <c r="E13" s="175"/>
      <c r="F13" s="97"/>
      <c r="G13" s="120"/>
      <c r="H13" s="168"/>
      <c r="I13" s="136"/>
      <c r="J13" s="143" t="s">
        <v>218</v>
      </c>
      <c r="K13" s="27">
        <v>815750</v>
      </c>
      <c r="L13" s="139"/>
      <c r="M13" s="140"/>
      <c r="N13" s="140"/>
      <c r="O13" s="140"/>
      <c r="P13" s="140"/>
      <c r="Q13" s="184"/>
      <c r="R13" s="134"/>
      <c r="S13" s="124"/>
      <c r="T13" s="125"/>
    </row>
    <row r="14" spans="1:21" ht="21" x14ac:dyDescent="0.35">
      <c r="A14" s="90"/>
      <c r="B14" s="146"/>
      <c r="C14" s="146"/>
      <c r="D14" s="147"/>
      <c r="E14" s="147"/>
      <c r="F14" s="228"/>
      <c r="G14" s="120"/>
      <c r="H14" s="168"/>
      <c r="I14" s="136"/>
      <c r="J14" s="143" t="s">
        <v>219</v>
      </c>
      <c r="K14" s="27">
        <v>0</v>
      </c>
      <c r="L14" s="139"/>
      <c r="M14" s="140"/>
      <c r="N14" s="140"/>
      <c r="O14" s="140"/>
      <c r="P14" s="140"/>
      <c r="Q14" s="184"/>
      <c r="R14" s="134"/>
      <c r="S14" s="124"/>
      <c r="T14" s="125"/>
    </row>
    <row r="15" spans="1:21" ht="21" x14ac:dyDescent="0.4">
      <c r="A15" s="90"/>
      <c r="B15" s="176" t="s">
        <v>220</v>
      </c>
      <c r="C15" s="177"/>
      <c r="D15" s="178"/>
      <c r="E15" s="178"/>
      <c r="F15" s="231"/>
      <c r="G15" s="120"/>
      <c r="H15" s="36"/>
      <c r="I15" s="185"/>
      <c r="J15" s="186"/>
      <c r="K15" s="28"/>
      <c r="L15" s="187"/>
      <c r="M15" s="188"/>
      <c r="N15" s="188"/>
      <c r="O15" s="188"/>
      <c r="P15" s="188"/>
      <c r="Q15" s="189"/>
      <c r="R15" s="134"/>
      <c r="S15" s="126"/>
      <c r="T15" s="127"/>
      <c r="U15" s="12"/>
    </row>
    <row r="16" spans="1:21" ht="21" x14ac:dyDescent="0.25">
      <c r="A16" s="90"/>
      <c r="B16" s="147"/>
      <c r="C16" s="147"/>
      <c r="D16" s="147"/>
      <c r="E16" s="330"/>
      <c r="F16" s="330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1" s="3" customFormat="1" ht="46.8" x14ac:dyDescent="0.25">
      <c r="A17" s="48" t="s">
        <v>179</v>
      </c>
      <c r="B17" s="48" t="s">
        <v>180</v>
      </c>
      <c r="C17" s="48" t="s">
        <v>181</v>
      </c>
      <c r="D17" s="48" t="s">
        <v>182</v>
      </c>
      <c r="E17" s="48" t="s">
        <v>83</v>
      </c>
      <c r="F17" s="232" t="s">
        <v>183</v>
      </c>
      <c r="G17" s="53" t="s">
        <v>184</v>
      </c>
      <c r="H17" s="53" t="s">
        <v>185</v>
      </c>
      <c r="I17" s="53" t="s">
        <v>186</v>
      </c>
      <c r="J17" s="100" t="s">
        <v>187</v>
      </c>
      <c r="K17" s="53" t="s">
        <v>188</v>
      </c>
      <c r="L17" s="53" t="s">
        <v>189</v>
      </c>
      <c r="M17" s="53" t="s">
        <v>190</v>
      </c>
      <c r="N17" s="53" t="s">
        <v>191</v>
      </c>
      <c r="O17" s="54" t="s">
        <v>192</v>
      </c>
      <c r="P17" s="54" t="s">
        <v>193</v>
      </c>
      <c r="Q17" s="48" t="s">
        <v>194</v>
      </c>
      <c r="R17" s="48" t="s">
        <v>195</v>
      </c>
      <c r="S17" s="122" t="s">
        <v>221</v>
      </c>
      <c r="T17" s="123" t="s">
        <v>222</v>
      </c>
      <c r="U17" s="2"/>
    </row>
    <row r="18" spans="1:21" s="7" customFormat="1" x14ac:dyDescent="0.25">
      <c r="A18" s="206"/>
      <c r="B18" s="206"/>
      <c r="C18" s="206"/>
      <c r="D18" s="206" t="s">
        <v>44</v>
      </c>
      <c r="E18" s="207"/>
      <c r="F18" s="233" t="s">
        <v>223</v>
      </c>
      <c r="G18" s="209"/>
      <c r="H18" s="208"/>
      <c r="I18" s="210"/>
      <c r="J18" s="210"/>
      <c r="K18" s="208"/>
      <c r="L18" s="208"/>
      <c r="M18" s="208"/>
      <c r="N18" s="208"/>
      <c r="O18" s="208"/>
      <c r="P18" s="208"/>
      <c r="Q18" s="208"/>
      <c r="R18" s="211">
        <f>SUM(Q19:Q65)</f>
        <v>2430165.7301334674</v>
      </c>
      <c r="S18" s="129"/>
      <c r="T18" s="130"/>
      <c r="U18" s="13">
        <f>SUM(Q67:Q235)</f>
        <v>12326481.004988423</v>
      </c>
    </row>
    <row r="19" spans="1:21" s="7" customFormat="1" x14ac:dyDescent="0.25">
      <c r="A19" s="149"/>
      <c r="B19" s="49"/>
      <c r="C19" s="49"/>
      <c r="D19" s="102"/>
      <c r="E19" s="204"/>
      <c r="F19" s="234" t="s">
        <v>248</v>
      </c>
      <c r="G19" s="50"/>
      <c r="H19" s="51"/>
      <c r="I19" s="52"/>
      <c r="J19" s="101"/>
      <c r="K19" s="55"/>
      <c r="L19" s="56"/>
      <c r="M19" s="57"/>
      <c r="N19" s="58"/>
      <c r="O19" s="60"/>
      <c r="P19" s="60"/>
      <c r="Q19" s="61"/>
      <c r="R19" s="163"/>
      <c r="S19" s="124"/>
      <c r="T19" s="125"/>
      <c r="U19" s="14"/>
    </row>
    <row r="20" spans="1:21" s="7" customFormat="1" x14ac:dyDescent="0.25">
      <c r="A20" s="149"/>
      <c r="B20" s="49"/>
      <c r="C20" s="49"/>
      <c r="D20" s="102"/>
      <c r="E20" s="204"/>
      <c r="F20" s="235" t="s">
        <v>826</v>
      </c>
      <c r="G20" s="50"/>
      <c r="H20" s="51"/>
      <c r="I20" s="52"/>
      <c r="J20" s="101"/>
      <c r="K20" s="55"/>
      <c r="L20" s="59"/>
      <c r="M20" s="57"/>
      <c r="N20" s="58"/>
      <c r="O20" s="60"/>
      <c r="P20" s="60"/>
      <c r="Q20" s="61"/>
      <c r="R20" s="164"/>
      <c r="S20" s="124"/>
      <c r="T20" s="125"/>
    </row>
    <row r="21" spans="1:21" s="7" customFormat="1" x14ac:dyDescent="0.25">
      <c r="A21" s="110">
        <f>IF(J21&lt;&gt;"",1+MAX($A$17:A20),"")</f>
        <v>1</v>
      </c>
      <c r="B21" s="49"/>
      <c r="C21" s="49"/>
      <c r="D21" s="102" t="s">
        <v>44</v>
      </c>
      <c r="E21" s="204" t="s">
        <v>45</v>
      </c>
      <c r="F21" s="234" t="s">
        <v>827</v>
      </c>
      <c r="G21" s="50">
        <v>1</v>
      </c>
      <c r="H21" s="51">
        <f>IF(VLOOKUP(J21,'HOURLY RATES'!B$116:C$124,2,0)=0,$J$3,VLOOKUP(J21,'HOURLY RATES'!B$116:C$124,2,0))</f>
        <v>0</v>
      </c>
      <c r="I21" s="52">
        <f>(G21*(1+H21))</f>
        <v>1</v>
      </c>
      <c r="J21" s="101" t="s">
        <v>224</v>
      </c>
      <c r="K21" s="55"/>
      <c r="L21" s="59">
        <f>K21*I21</f>
        <v>0</v>
      </c>
      <c r="M21" s="57">
        <f>IF(VLOOKUP(E21,'HOURLY RATES'!C$6:D$105,2,0)=0,$E$3,VLOOKUP(E21,'HOURLY RATES'!C$6:D$105,2,0))</f>
        <v>79.331999999999994</v>
      </c>
      <c r="N21" s="57">
        <f>M21*L21</f>
        <v>0</v>
      </c>
      <c r="O21" s="60"/>
      <c r="P21" s="60"/>
      <c r="Q21" s="61">
        <f>P21+N21</f>
        <v>0</v>
      </c>
      <c r="R21" s="164"/>
      <c r="S21" s="129">
        <f>((((N21*(1+$D$7))+(P21*(1+$D$5+$D$6)))*(1+$D$8)))/I21</f>
        <v>0</v>
      </c>
      <c r="T21" s="130">
        <f>S21*I21</f>
        <v>0</v>
      </c>
    </row>
    <row r="22" spans="1:21" s="7" customFormat="1" x14ac:dyDescent="0.25">
      <c r="A22" s="110">
        <f>IF(J22&lt;&gt;"",1+MAX($A$17:A21),"")</f>
        <v>2</v>
      </c>
      <c r="B22" s="49"/>
      <c r="C22" s="49"/>
      <c r="D22" s="102" t="s">
        <v>44</v>
      </c>
      <c r="E22" s="204" t="s">
        <v>45</v>
      </c>
      <c r="F22" s="234" t="s">
        <v>828</v>
      </c>
      <c r="G22" s="50">
        <v>1</v>
      </c>
      <c r="H22" s="51">
        <f>IF(VLOOKUP(J22,'HOURLY RATES'!B$116:C$124,2,0)=0,$J$3,VLOOKUP(J22,'HOURLY RATES'!B$116:C$124,2,0))</f>
        <v>0</v>
      </c>
      <c r="I22" s="52">
        <f t="shared" ref="I22:I31" si="0">(G22*(1+H22))</f>
        <v>1</v>
      </c>
      <c r="J22" s="101" t="s">
        <v>224</v>
      </c>
      <c r="K22" s="55"/>
      <c r="L22" s="59">
        <f t="shared" ref="L22:L31" si="1">K22*I22</f>
        <v>0</v>
      </c>
      <c r="M22" s="57">
        <f>IF(VLOOKUP(E22,'HOURLY RATES'!C$6:D$105,2,0)=0,$E$3,VLOOKUP(E22,'HOURLY RATES'!C$6:D$105,2,0))</f>
        <v>79.331999999999994</v>
      </c>
      <c r="N22" s="57">
        <f t="shared" ref="N22:N31" si="2">M22*L22</f>
        <v>0</v>
      </c>
      <c r="O22" s="60"/>
      <c r="P22" s="60"/>
      <c r="Q22" s="61">
        <f t="shared" ref="Q22:Q62" si="3">P22+N22</f>
        <v>0</v>
      </c>
      <c r="R22" s="164"/>
      <c r="S22" s="129">
        <f t="shared" ref="S22:S65" si="4">((((N22*(1+$D$7))+(P22*(1+$D$5+$D$6)))*(1+$D$8)))/I22</f>
        <v>0</v>
      </c>
      <c r="T22" s="130">
        <f t="shared" ref="T22:T65" si="5">S22*I22</f>
        <v>0</v>
      </c>
    </row>
    <row r="23" spans="1:21" s="7" customFormat="1" x14ac:dyDescent="0.25">
      <c r="A23" s="110">
        <f>IF(J23&lt;&gt;"",1+MAX($A$17:A22),"")</f>
        <v>3</v>
      </c>
      <c r="B23" s="49"/>
      <c r="C23" s="49"/>
      <c r="D23" s="102" t="s">
        <v>44</v>
      </c>
      <c r="E23" s="204" t="s">
        <v>45</v>
      </c>
      <c r="F23" s="234" t="s">
        <v>225</v>
      </c>
      <c r="G23" s="50">
        <v>1</v>
      </c>
      <c r="H23" s="51">
        <f>IF(VLOOKUP(J23,'HOURLY RATES'!B$116:C$124,2,0)=0,$J$3,VLOOKUP(J23,'HOURLY RATES'!B$116:C$124,2,0))</f>
        <v>0</v>
      </c>
      <c r="I23" s="52">
        <f t="shared" si="0"/>
        <v>1</v>
      </c>
      <c r="J23" s="101" t="s">
        <v>224</v>
      </c>
      <c r="K23" s="55"/>
      <c r="L23" s="59">
        <f t="shared" si="1"/>
        <v>0</v>
      </c>
      <c r="M23" s="57">
        <f>IF(VLOOKUP(E23,'HOURLY RATES'!C$6:D$105,2,0)=0,$E$3,VLOOKUP(E23,'HOURLY RATES'!C$6:D$105,2,0))</f>
        <v>79.331999999999994</v>
      </c>
      <c r="N23" s="57">
        <f t="shared" si="2"/>
        <v>0</v>
      </c>
      <c r="O23" s="60"/>
      <c r="P23" s="60"/>
      <c r="Q23" s="61">
        <f t="shared" si="3"/>
        <v>0</v>
      </c>
      <c r="R23" s="164"/>
      <c r="S23" s="129">
        <f t="shared" si="4"/>
        <v>0</v>
      </c>
      <c r="T23" s="130">
        <f t="shared" si="5"/>
        <v>0</v>
      </c>
    </row>
    <row r="24" spans="1:21" s="7" customFormat="1" x14ac:dyDescent="0.25">
      <c r="A24" s="110">
        <f>IF(J24&lt;&gt;"",1+MAX($A$17:A23),"")</f>
        <v>4</v>
      </c>
      <c r="B24" s="49"/>
      <c r="C24" s="49"/>
      <c r="D24" s="102" t="s">
        <v>44</v>
      </c>
      <c r="E24" s="204" t="s">
        <v>45</v>
      </c>
      <c r="F24" s="234" t="s">
        <v>829</v>
      </c>
      <c r="G24" s="50">
        <v>1</v>
      </c>
      <c r="H24" s="51">
        <f>IF(VLOOKUP(J24,'HOURLY RATES'!B$116:C$124,2,0)=0,$J$3,VLOOKUP(J24,'HOURLY RATES'!B$116:C$124,2,0))</f>
        <v>0</v>
      </c>
      <c r="I24" s="52">
        <f t="shared" si="0"/>
        <v>1</v>
      </c>
      <c r="J24" s="101" t="s">
        <v>224</v>
      </c>
      <c r="K24" s="55"/>
      <c r="L24" s="59">
        <f t="shared" si="1"/>
        <v>0</v>
      </c>
      <c r="M24" s="57">
        <f>IF(VLOOKUP(E24,'HOURLY RATES'!C$6:D$105,2,0)=0,$E$3,VLOOKUP(E24,'HOURLY RATES'!C$6:D$105,2,0))</f>
        <v>79.331999999999994</v>
      </c>
      <c r="N24" s="57">
        <f t="shared" si="2"/>
        <v>0</v>
      </c>
      <c r="O24" s="60"/>
      <c r="P24" s="60"/>
      <c r="Q24" s="61">
        <f t="shared" si="3"/>
        <v>0</v>
      </c>
      <c r="R24" s="164"/>
      <c r="S24" s="129">
        <f t="shared" si="4"/>
        <v>0</v>
      </c>
      <c r="T24" s="130">
        <f t="shared" si="5"/>
        <v>0</v>
      </c>
    </row>
    <row r="25" spans="1:21" s="7" customFormat="1" x14ac:dyDescent="0.25">
      <c r="A25" s="110">
        <f>IF(J25&lt;&gt;"",1+MAX($A$17:A24),"")</f>
        <v>5</v>
      </c>
      <c r="B25" s="49"/>
      <c r="C25" s="49"/>
      <c r="D25" s="102" t="s">
        <v>44</v>
      </c>
      <c r="E25" s="204" t="s">
        <v>45</v>
      </c>
      <c r="F25" s="234" t="s">
        <v>830</v>
      </c>
      <c r="G25" s="50">
        <v>1</v>
      </c>
      <c r="H25" s="51">
        <f>IF(VLOOKUP(J25,'HOURLY RATES'!B$116:C$124,2,0)=0,$J$3,VLOOKUP(J25,'HOURLY RATES'!B$116:C$124,2,0))</f>
        <v>0</v>
      </c>
      <c r="I25" s="52">
        <f t="shared" si="0"/>
        <v>1</v>
      </c>
      <c r="J25" s="101" t="s">
        <v>224</v>
      </c>
      <c r="K25" s="55"/>
      <c r="L25" s="59">
        <f t="shared" si="1"/>
        <v>0</v>
      </c>
      <c r="M25" s="57">
        <f>IF(VLOOKUP(E25,'HOURLY RATES'!C$6:D$105,2,0)=0,$E$3,VLOOKUP(E25,'HOURLY RATES'!C$6:D$105,2,0))</f>
        <v>79.331999999999994</v>
      </c>
      <c r="N25" s="57">
        <f t="shared" si="2"/>
        <v>0</v>
      </c>
      <c r="O25" s="60"/>
      <c r="P25" s="60"/>
      <c r="Q25" s="61">
        <f t="shared" si="3"/>
        <v>0</v>
      </c>
      <c r="R25" s="164"/>
      <c r="S25" s="129">
        <f t="shared" si="4"/>
        <v>0</v>
      </c>
      <c r="T25" s="130">
        <f t="shared" si="5"/>
        <v>0</v>
      </c>
    </row>
    <row r="26" spans="1:21" s="7" customFormat="1" x14ac:dyDescent="0.25">
      <c r="A26" s="110">
        <f>IF(J26&lt;&gt;"",1+MAX($A$17:A25),"")</f>
        <v>6</v>
      </c>
      <c r="B26" s="49"/>
      <c r="C26" s="49"/>
      <c r="D26" s="102" t="s">
        <v>44</v>
      </c>
      <c r="E26" s="204" t="s">
        <v>45</v>
      </c>
      <c r="F26" s="234" t="s">
        <v>226</v>
      </c>
      <c r="G26" s="50">
        <v>1</v>
      </c>
      <c r="H26" s="51">
        <f>IF(VLOOKUP(J26,'HOURLY RATES'!B$116:C$124,2,0)=0,$J$3,VLOOKUP(J26,'HOURLY RATES'!B$116:C$124,2,0))</f>
        <v>0</v>
      </c>
      <c r="I26" s="52">
        <f t="shared" si="0"/>
        <v>1</v>
      </c>
      <c r="J26" s="101" t="s">
        <v>224</v>
      </c>
      <c r="K26" s="55"/>
      <c r="L26" s="59">
        <f t="shared" si="1"/>
        <v>0</v>
      </c>
      <c r="M26" s="57">
        <f>IF(VLOOKUP(E26,'HOURLY RATES'!C$6:D$105,2,0)=0,$E$3,VLOOKUP(E26,'HOURLY RATES'!C$6:D$105,2,0))</f>
        <v>79.331999999999994</v>
      </c>
      <c r="N26" s="57">
        <f t="shared" si="2"/>
        <v>0</v>
      </c>
      <c r="O26" s="60"/>
      <c r="P26" s="60"/>
      <c r="Q26" s="61">
        <f t="shared" si="3"/>
        <v>0</v>
      </c>
      <c r="R26" s="164"/>
      <c r="S26" s="129">
        <f t="shared" si="4"/>
        <v>0</v>
      </c>
      <c r="T26" s="130">
        <f t="shared" si="5"/>
        <v>0</v>
      </c>
    </row>
    <row r="27" spans="1:21" s="7" customFormat="1" x14ac:dyDescent="0.25">
      <c r="A27" s="110">
        <f>IF(J27&lt;&gt;"",1+MAX($A$17:A26),"")</f>
        <v>7</v>
      </c>
      <c r="B27" s="49"/>
      <c r="C27" s="49"/>
      <c r="D27" s="102" t="s">
        <v>44</v>
      </c>
      <c r="E27" s="204" t="s">
        <v>45</v>
      </c>
      <c r="F27" s="234" t="s">
        <v>227</v>
      </c>
      <c r="G27" s="50">
        <v>1</v>
      </c>
      <c r="H27" s="51">
        <f>IF(VLOOKUP(J27,'HOURLY RATES'!B$116:C$124,2,0)=0,$J$3,VLOOKUP(J27,'HOURLY RATES'!B$116:C$124,2,0))</f>
        <v>0</v>
      </c>
      <c r="I27" s="52">
        <f t="shared" si="0"/>
        <v>1</v>
      </c>
      <c r="J27" s="101" t="s">
        <v>224</v>
      </c>
      <c r="K27" s="150">
        <f>1.5%*($U$18)/M27</f>
        <v>2330.6763358395897</v>
      </c>
      <c r="L27" s="59">
        <f t="shared" si="1"/>
        <v>2330.6763358395897</v>
      </c>
      <c r="M27" s="57">
        <f>IF(VLOOKUP(E27,'HOURLY RATES'!C$6:D$105,2,0)=0,$E$3,VLOOKUP(E27,'HOURLY RATES'!C$6:D$105,2,0))</f>
        <v>79.331999999999994</v>
      </c>
      <c r="N27" s="57">
        <f t="shared" si="2"/>
        <v>184897.21507482632</v>
      </c>
      <c r="O27" s="60"/>
      <c r="P27" s="60"/>
      <c r="Q27" s="61">
        <f t="shared" si="3"/>
        <v>184897.21507482632</v>
      </c>
      <c r="R27" s="164"/>
      <c r="S27" s="129">
        <f t="shared" si="4"/>
        <v>234588.34162618587</v>
      </c>
      <c r="T27" s="130">
        <f t="shared" si="5"/>
        <v>234588.34162618587</v>
      </c>
    </row>
    <row r="28" spans="1:21" s="7" customFormat="1" x14ac:dyDescent="0.25">
      <c r="A28" s="110">
        <f>IF(J28&lt;&gt;"",1+MAX($A$17:A27),"")</f>
        <v>8</v>
      </c>
      <c r="B28" s="49"/>
      <c r="C28" s="49"/>
      <c r="D28" s="102" t="s">
        <v>44</v>
      </c>
      <c r="E28" s="204" t="s">
        <v>45</v>
      </c>
      <c r="F28" s="234" t="s">
        <v>831</v>
      </c>
      <c r="G28" s="50">
        <v>1</v>
      </c>
      <c r="H28" s="51">
        <f>IF(VLOOKUP(J28,'HOURLY RATES'!B$116:C$124,2,0)=0,$J$3,VLOOKUP(J28,'HOURLY RATES'!B$116:C$124,2,0))</f>
        <v>0</v>
      </c>
      <c r="I28" s="52">
        <f t="shared" si="0"/>
        <v>1</v>
      </c>
      <c r="J28" s="101" t="s">
        <v>224</v>
      </c>
      <c r="K28" s="150"/>
      <c r="L28" s="59">
        <f t="shared" si="1"/>
        <v>0</v>
      </c>
      <c r="M28" s="57">
        <f>IF(VLOOKUP(E28,'HOURLY RATES'!C$6:D$105,2,0)=0,$E$3,VLOOKUP(E28,'HOURLY RATES'!C$6:D$105,2,0))</f>
        <v>79.331999999999994</v>
      </c>
      <c r="N28" s="57">
        <f t="shared" si="2"/>
        <v>0</v>
      </c>
      <c r="O28" s="60"/>
      <c r="P28" s="60"/>
      <c r="Q28" s="61">
        <f t="shared" si="3"/>
        <v>0</v>
      </c>
      <c r="R28" s="164"/>
      <c r="S28" s="129">
        <f t="shared" si="4"/>
        <v>0</v>
      </c>
      <c r="T28" s="130">
        <f t="shared" si="5"/>
        <v>0</v>
      </c>
    </row>
    <row r="29" spans="1:21" s="7" customFormat="1" x14ac:dyDescent="0.25">
      <c r="A29" s="110">
        <f>IF(J29&lt;&gt;"",1+MAX($A$17:A28),"")</f>
        <v>9</v>
      </c>
      <c r="B29" s="49"/>
      <c r="C29" s="49"/>
      <c r="D29" s="102" t="s">
        <v>44</v>
      </c>
      <c r="E29" s="204" t="s">
        <v>45</v>
      </c>
      <c r="F29" s="234" t="s">
        <v>228</v>
      </c>
      <c r="G29" s="50">
        <v>1</v>
      </c>
      <c r="H29" s="51">
        <f>IF(VLOOKUP(J29,'HOURLY RATES'!B$116:C$124,2,0)=0,$J$3,VLOOKUP(J29,'HOURLY RATES'!B$116:C$124,2,0))</f>
        <v>0</v>
      </c>
      <c r="I29" s="52">
        <f t="shared" si="0"/>
        <v>1</v>
      </c>
      <c r="J29" s="101" t="s">
        <v>224</v>
      </c>
      <c r="K29" s="150"/>
      <c r="L29" s="59">
        <f t="shared" si="1"/>
        <v>0</v>
      </c>
      <c r="M29" s="57">
        <f>IF(VLOOKUP(E29,'HOURLY RATES'!C$6:D$105,2,0)=0,$E$3,VLOOKUP(E29,'HOURLY RATES'!C$6:D$105,2,0))</f>
        <v>79.331999999999994</v>
      </c>
      <c r="N29" s="57">
        <f t="shared" si="2"/>
        <v>0</v>
      </c>
      <c r="O29" s="60"/>
      <c r="P29" s="60"/>
      <c r="Q29" s="61">
        <f t="shared" si="3"/>
        <v>0</v>
      </c>
      <c r="R29" s="164"/>
      <c r="S29" s="129">
        <f t="shared" si="4"/>
        <v>0</v>
      </c>
      <c r="T29" s="130">
        <f t="shared" si="5"/>
        <v>0</v>
      </c>
    </row>
    <row r="30" spans="1:21" s="7" customFormat="1" x14ac:dyDescent="0.25">
      <c r="A30" s="110">
        <f>IF(J30&lt;&gt;"",1+MAX($A$17:A29),"")</f>
        <v>10</v>
      </c>
      <c r="B30" s="49"/>
      <c r="C30" s="49"/>
      <c r="D30" s="102" t="s">
        <v>44</v>
      </c>
      <c r="E30" s="204" t="s">
        <v>45</v>
      </c>
      <c r="F30" s="234" t="s">
        <v>229</v>
      </c>
      <c r="G30" s="50">
        <v>1</v>
      </c>
      <c r="H30" s="51">
        <f>IF(VLOOKUP(J30,'HOURLY RATES'!B$116:C$124,2,0)=0,$J$3,VLOOKUP(J30,'HOURLY RATES'!B$116:C$124,2,0))</f>
        <v>0</v>
      </c>
      <c r="I30" s="52">
        <f t="shared" si="0"/>
        <v>1</v>
      </c>
      <c r="J30" s="101" t="s">
        <v>224</v>
      </c>
      <c r="K30" s="150"/>
      <c r="L30" s="59">
        <f t="shared" si="1"/>
        <v>0</v>
      </c>
      <c r="M30" s="57">
        <f>IF(VLOOKUP(E30,'HOURLY RATES'!C$6:D$105,2,0)=0,$E$3,VLOOKUP(E30,'HOURLY RATES'!C$6:D$105,2,0))</f>
        <v>79.331999999999994</v>
      </c>
      <c r="N30" s="57">
        <f t="shared" si="2"/>
        <v>0</v>
      </c>
      <c r="O30" s="60"/>
      <c r="P30" s="60"/>
      <c r="Q30" s="61">
        <f t="shared" si="3"/>
        <v>0</v>
      </c>
      <c r="R30" s="164"/>
      <c r="S30" s="129">
        <f t="shared" si="4"/>
        <v>0</v>
      </c>
      <c r="T30" s="130">
        <f t="shared" si="5"/>
        <v>0</v>
      </c>
    </row>
    <row r="31" spans="1:21" s="7" customFormat="1" x14ac:dyDescent="0.25">
      <c r="A31" s="110">
        <f>IF(J31&lt;&gt;"",1+MAX($A$17:A30),"")</f>
        <v>11</v>
      </c>
      <c r="B31" s="49"/>
      <c r="C31" s="49"/>
      <c r="D31" s="102" t="s">
        <v>44</v>
      </c>
      <c r="E31" s="204" t="s">
        <v>45</v>
      </c>
      <c r="F31" s="234" t="s">
        <v>832</v>
      </c>
      <c r="G31" s="50">
        <v>1</v>
      </c>
      <c r="H31" s="51">
        <f>IF(VLOOKUP(J31,'HOURLY RATES'!B$116:C$124,2,0)=0,$J$3,VLOOKUP(J31,'HOURLY RATES'!B$116:C$124,2,0))</f>
        <v>0</v>
      </c>
      <c r="I31" s="52">
        <f t="shared" si="0"/>
        <v>1</v>
      </c>
      <c r="J31" s="101" t="s">
        <v>224</v>
      </c>
      <c r="K31" s="150"/>
      <c r="L31" s="59">
        <f t="shared" si="1"/>
        <v>0</v>
      </c>
      <c r="M31" s="57">
        <f>IF(VLOOKUP(E31,'HOURLY RATES'!C$6:D$105,2,0)=0,$E$3,VLOOKUP(E31,'HOURLY RATES'!C$6:D$105,2,0))</f>
        <v>79.331999999999994</v>
      </c>
      <c r="N31" s="57">
        <f t="shared" si="2"/>
        <v>0</v>
      </c>
      <c r="O31" s="60"/>
      <c r="P31" s="60"/>
      <c r="Q31" s="61">
        <f t="shared" si="3"/>
        <v>0</v>
      </c>
      <c r="R31" s="164"/>
      <c r="S31" s="129">
        <f t="shared" si="4"/>
        <v>0</v>
      </c>
      <c r="T31" s="130">
        <f t="shared" si="5"/>
        <v>0</v>
      </c>
    </row>
    <row r="32" spans="1:21" s="7" customFormat="1" x14ac:dyDescent="0.25">
      <c r="A32" s="110" t="str">
        <f>IF(J32&lt;&gt;"",1+MAX($A$17:A31),"")</f>
        <v/>
      </c>
      <c r="B32" s="49"/>
      <c r="C32" s="49"/>
      <c r="D32" s="102"/>
      <c r="E32" s="204"/>
      <c r="F32" s="234" t="s">
        <v>248</v>
      </c>
      <c r="G32" s="50"/>
      <c r="H32" s="51"/>
      <c r="I32" s="52"/>
      <c r="J32" s="101"/>
      <c r="K32" s="150"/>
      <c r="L32" s="56"/>
      <c r="M32" s="57"/>
      <c r="N32" s="58"/>
      <c r="O32" s="60"/>
      <c r="P32" s="60"/>
      <c r="Q32" s="61"/>
      <c r="R32" s="164"/>
      <c r="S32" s="129"/>
      <c r="T32" s="130"/>
    </row>
    <row r="33" spans="1:20" s="7" customFormat="1" x14ac:dyDescent="0.25">
      <c r="A33" s="110" t="str">
        <f>IF(J33&lt;&gt;"",1+MAX($A$17:A32),"")</f>
        <v/>
      </c>
      <c r="B33" s="49"/>
      <c r="C33" s="49"/>
      <c r="D33" s="102"/>
      <c r="E33" s="204"/>
      <c r="F33" s="235" t="s">
        <v>76</v>
      </c>
      <c r="G33" s="50"/>
      <c r="H33" s="51"/>
      <c r="I33" s="52"/>
      <c r="J33" s="101"/>
      <c r="K33" s="150"/>
      <c r="L33" s="56"/>
      <c r="M33" s="57"/>
      <c r="N33" s="58"/>
      <c r="O33" s="60"/>
      <c r="P33" s="60"/>
      <c r="Q33" s="61"/>
      <c r="R33" s="164"/>
      <c r="S33" s="129"/>
      <c r="T33" s="130"/>
    </row>
    <row r="34" spans="1:20" s="7" customFormat="1" x14ac:dyDescent="0.25">
      <c r="A34" s="110">
        <f>IF(J34&lt;&gt;"",1+MAX($A$17:A33),"")</f>
        <v>12</v>
      </c>
      <c r="B34" s="49"/>
      <c r="C34" s="49"/>
      <c r="D34" s="102" t="s">
        <v>44</v>
      </c>
      <c r="E34" s="204" t="s">
        <v>45</v>
      </c>
      <c r="F34" s="234" t="s">
        <v>833</v>
      </c>
      <c r="G34" s="50">
        <v>1</v>
      </c>
      <c r="H34" s="51">
        <f>IF(VLOOKUP(J34,'HOURLY RATES'!B$116:C$124,2,0)=0,$J$3,VLOOKUP(J34,'HOURLY RATES'!B$116:C$124,2,0))</f>
        <v>0</v>
      </c>
      <c r="I34" s="52">
        <f t="shared" ref="I34:I36" si="6">(G34*(1+H34))</f>
        <v>1</v>
      </c>
      <c r="J34" s="101" t="s">
        <v>224</v>
      </c>
      <c r="K34" s="150">
        <f>1.388%*(U18)/M34</f>
        <v>2156.6525027635671</v>
      </c>
      <c r="L34" s="59">
        <f t="shared" ref="L34:L36" si="7">K34*I34</f>
        <v>2156.6525027635671</v>
      </c>
      <c r="M34" s="57">
        <f>IF(VLOOKUP(E34,'HOURLY RATES'!C$6:D$105,2,0)=0,$E$3,VLOOKUP(E34,'HOURLY RATES'!C$6:D$105,2,0))</f>
        <v>79.331999999999994</v>
      </c>
      <c r="N34" s="57">
        <f t="shared" ref="N34:N36" si="8">M34*L34</f>
        <v>171091.55634923928</v>
      </c>
      <c r="O34" s="60"/>
      <c r="P34" s="60"/>
      <c r="Q34" s="61">
        <f t="shared" ref="Q34:Q36" si="9">P34+N34</f>
        <v>171091.55634923928</v>
      </c>
      <c r="R34" s="164"/>
      <c r="S34" s="129">
        <f t="shared" si="4"/>
        <v>217072.41211809733</v>
      </c>
      <c r="T34" s="130">
        <f t="shared" si="5"/>
        <v>217072.41211809733</v>
      </c>
    </row>
    <row r="35" spans="1:20" s="7" customFormat="1" x14ac:dyDescent="0.25">
      <c r="A35" s="110">
        <f>IF(J35&lt;&gt;"",1+MAX($A$17:A34),"")</f>
        <v>13</v>
      </c>
      <c r="B35" s="49"/>
      <c r="C35" s="49"/>
      <c r="D35" s="102" t="s">
        <v>44</v>
      </c>
      <c r="E35" s="204" t="s">
        <v>45</v>
      </c>
      <c r="F35" s="234" t="s">
        <v>834</v>
      </c>
      <c r="G35" s="50">
        <v>1</v>
      </c>
      <c r="H35" s="51">
        <f>IF(VLOOKUP(J35,'HOURLY RATES'!B$116:C$124,2,0)=0,$J$3,VLOOKUP(J35,'HOURLY RATES'!B$116:C$124,2,0))</f>
        <v>0</v>
      </c>
      <c r="I35" s="52">
        <f t="shared" si="6"/>
        <v>1</v>
      </c>
      <c r="J35" s="101" t="s">
        <v>224</v>
      </c>
      <c r="K35" s="150">
        <f>1.257%*(U18)/M35</f>
        <v>1953.1067694335763</v>
      </c>
      <c r="L35" s="59">
        <f t="shared" si="7"/>
        <v>1953.1067694335763</v>
      </c>
      <c r="M35" s="57">
        <f>IF(VLOOKUP(E35,'HOURLY RATES'!C$6:D$105,2,0)=0,$E$3,VLOOKUP(E35,'HOURLY RATES'!C$6:D$105,2,0))</f>
        <v>79.331999999999994</v>
      </c>
      <c r="N35" s="57">
        <f t="shared" si="8"/>
        <v>154943.86623270446</v>
      </c>
      <c r="O35" s="60"/>
      <c r="P35" s="60"/>
      <c r="Q35" s="61">
        <f t="shared" si="9"/>
        <v>154943.86623270446</v>
      </c>
      <c r="R35" s="164"/>
      <c r="S35" s="129">
        <f t="shared" si="4"/>
        <v>196585.03028274377</v>
      </c>
      <c r="T35" s="130">
        <f t="shared" si="5"/>
        <v>196585.03028274377</v>
      </c>
    </row>
    <row r="36" spans="1:20" s="7" customFormat="1" x14ac:dyDescent="0.25">
      <c r="A36" s="110">
        <f>IF(J36&lt;&gt;"",1+MAX($A$17:A35),"")</f>
        <v>14</v>
      </c>
      <c r="B36" s="49"/>
      <c r="C36" s="49"/>
      <c r="D36" s="102" t="s">
        <v>44</v>
      </c>
      <c r="E36" s="204" t="s">
        <v>45</v>
      </c>
      <c r="F36" s="234" t="s">
        <v>835</v>
      </c>
      <c r="G36" s="50">
        <v>1</v>
      </c>
      <c r="H36" s="51">
        <f>IF(VLOOKUP(J36,'HOURLY RATES'!B$116:C$124,2,0)=0,$J$3,VLOOKUP(J36,'HOURLY RATES'!B$116:C$124,2,0))</f>
        <v>0</v>
      </c>
      <c r="I36" s="52">
        <f t="shared" si="6"/>
        <v>1</v>
      </c>
      <c r="J36" s="101" t="s">
        <v>224</v>
      </c>
      <c r="K36" s="150">
        <f>0.65%*(U18)/M36</f>
        <v>1009.959745530489</v>
      </c>
      <c r="L36" s="59">
        <f t="shared" si="7"/>
        <v>1009.959745530489</v>
      </c>
      <c r="M36" s="57">
        <f>IF(VLOOKUP(E36,'HOURLY RATES'!C$6:D$105,2,0)=0,$E$3,VLOOKUP(E36,'HOURLY RATES'!C$6:D$105,2,0))</f>
        <v>79.331999999999994</v>
      </c>
      <c r="N36" s="57">
        <f t="shared" si="8"/>
        <v>80122.126532424751</v>
      </c>
      <c r="O36" s="60"/>
      <c r="P36" s="60"/>
      <c r="Q36" s="61">
        <f t="shared" si="9"/>
        <v>80122.126532424751</v>
      </c>
      <c r="R36" s="164"/>
      <c r="S36" s="129">
        <f t="shared" si="4"/>
        <v>101654.9480380139</v>
      </c>
      <c r="T36" s="130">
        <f t="shared" si="5"/>
        <v>101654.9480380139</v>
      </c>
    </row>
    <row r="37" spans="1:20" s="7" customFormat="1" x14ac:dyDescent="0.25">
      <c r="A37" s="110" t="str">
        <f>IF(J37&lt;&gt;"",1+MAX($A$17:A36),"")</f>
        <v/>
      </c>
      <c r="B37" s="49"/>
      <c r="C37" s="49"/>
      <c r="D37" s="102"/>
      <c r="E37" s="204"/>
      <c r="F37" s="234" t="s">
        <v>248</v>
      </c>
      <c r="G37" s="50"/>
      <c r="H37" s="51"/>
      <c r="I37" s="52"/>
      <c r="J37" s="101"/>
      <c r="K37" s="150"/>
      <c r="L37" s="59"/>
      <c r="M37" s="57"/>
      <c r="N37" s="57"/>
      <c r="O37" s="60"/>
      <c r="P37" s="60"/>
      <c r="Q37" s="61"/>
      <c r="R37" s="164"/>
      <c r="S37" s="129"/>
      <c r="T37" s="130"/>
    </row>
    <row r="38" spans="1:20" s="7" customFormat="1" x14ac:dyDescent="0.25">
      <c r="A38" s="110" t="str">
        <f>IF(J38&lt;&gt;"",1+MAX($A$17:A37),"")</f>
        <v/>
      </c>
      <c r="B38" s="49"/>
      <c r="C38" s="49"/>
      <c r="D38" s="102"/>
      <c r="E38" s="204"/>
      <c r="F38" s="235" t="s">
        <v>836</v>
      </c>
      <c r="G38" s="50"/>
      <c r="H38" s="51"/>
      <c r="I38" s="52"/>
      <c r="J38" s="101"/>
      <c r="K38" s="150"/>
      <c r="L38" s="56"/>
      <c r="M38" s="57"/>
      <c r="N38" s="58"/>
      <c r="O38" s="60"/>
      <c r="P38" s="60"/>
      <c r="Q38" s="61"/>
      <c r="R38" s="164"/>
      <c r="S38" s="129"/>
      <c r="T38" s="130"/>
    </row>
    <row r="39" spans="1:20" s="7" customFormat="1" x14ac:dyDescent="0.25">
      <c r="A39" s="110">
        <f>IF(J39&lt;&gt;"",1+MAX($A$17:A38),"")</f>
        <v>15</v>
      </c>
      <c r="B39" s="49"/>
      <c r="C39" s="49"/>
      <c r="D39" s="102" t="s">
        <v>44</v>
      </c>
      <c r="E39" s="204" t="s">
        <v>45</v>
      </c>
      <c r="F39" s="234" t="s">
        <v>230</v>
      </c>
      <c r="G39" s="50">
        <v>1</v>
      </c>
      <c r="H39" s="51">
        <f>IF(VLOOKUP(J39,'HOURLY RATES'!B$116:C$124,2,0)=0,$J$3,VLOOKUP(J39,'HOURLY RATES'!B$116:C$124,2,0))</f>
        <v>0</v>
      </c>
      <c r="I39" s="52">
        <f t="shared" ref="I39:I44" si="10">(G39*(1+H39))</f>
        <v>1</v>
      </c>
      <c r="J39" s="101" t="s">
        <v>224</v>
      </c>
      <c r="K39" s="150">
        <f>2%*($U$18)/M39</f>
        <v>3107.56844778612</v>
      </c>
      <c r="L39" s="59">
        <f t="shared" ref="L39:L44" si="11">K39*I39</f>
        <v>3107.56844778612</v>
      </c>
      <c r="M39" s="57">
        <f>IF(VLOOKUP(E39,'HOURLY RATES'!C$6:D$105,2,0)=0,$E$3,VLOOKUP(E39,'HOURLY RATES'!C$6:D$105,2,0))</f>
        <v>79.331999999999994</v>
      </c>
      <c r="N39" s="57">
        <f t="shared" ref="N39:N44" si="12">M39*L39</f>
        <v>246529.62009976845</v>
      </c>
      <c r="O39" s="60"/>
      <c r="P39" s="60"/>
      <c r="Q39" s="61">
        <f t="shared" si="3"/>
        <v>246529.62009976845</v>
      </c>
      <c r="R39" s="164"/>
      <c r="S39" s="129">
        <f t="shared" si="4"/>
        <v>312784.45550158119</v>
      </c>
      <c r="T39" s="130">
        <f t="shared" si="5"/>
        <v>312784.45550158119</v>
      </c>
    </row>
    <row r="40" spans="1:20" s="7" customFormat="1" x14ac:dyDescent="0.25">
      <c r="A40" s="110">
        <f>IF(J40&lt;&gt;"",1+MAX($A$17:A39),"")</f>
        <v>16</v>
      </c>
      <c r="B40" s="49"/>
      <c r="C40" s="49"/>
      <c r="D40" s="102" t="s">
        <v>44</v>
      </c>
      <c r="E40" s="204" t="s">
        <v>45</v>
      </c>
      <c r="F40" s="234" t="s">
        <v>231</v>
      </c>
      <c r="G40" s="50">
        <v>1</v>
      </c>
      <c r="H40" s="51">
        <f>IF(VLOOKUP(J40,'HOURLY RATES'!B$116:C$124,2,0)=0,$J$3,VLOOKUP(J40,'HOURLY RATES'!B$116:C$124,2,0))</f>
        <v>0</v>
      </c>
      <c r="I40" s="52">
        <f t="shared" si="10"/>
        <v>1</v>
      </c>
      <c r="J40" s="101" t="s">
        <v>224</v>
      </c>
      <c r="K40" s="150"/>
      <c r="L40" s="59">
        <f t="shared" si="11"/>
        <v>0</v>
      </c>
      <c r="M40" s="57">
        <f>IF(VLOOKUP(E40,'HOURLY RATES'!C$6:D$105,2,0)=0,$E$3,VLOOKUP(E40,'HOURLY RATES'!C$6:D$105,2,0))</f>
        <v>79.331999999999994</v>
      </c>
      <c r="N40" s="57">
        <f t="shared" si="12"/>
        <v>0</v>
      </c>
      <c r="O40" s="60"/>
      <c r="P40" s="60"/>
      <c r="Q40" s="61">
        <f t="shared" si="3"/>
        <v>0</v>
      </c>
      <c r="R40" s="164"/>
      <c r="S40" s="129">
        <f t="shared" si="4"/>
        <v>0</v>
      </c>
      <c r="T40" s="130">
        <f t="shared" si="5"/>
        <v>0</v>
      </c>
    </row>
    <row r="41" spans="1:20" s="7" customFormat="1" x14ac:dyDescent="0.25">
      <c r="A41" s="110">
        <f>IF(J41&lt;&gt;"",1+MAX($A$17:A40),"")</f>
        <v>17</v>
      </c>
      <c r="B41" s="49"/>
      <c r="C41" s="49"/>
      <c r="D41" s="102" t="s">
        <v>44</v>
      </c>
      <c r="E41" s="204" t="s">
        <v>45</v>
      </c>
      <c r="F41" s="234" t="s">
        <v>232</v>
      </c>
      <c r="G41" s="50">
        <v>1</v>
      </c>
      <c r="H41" s="51">
        <f>IF(VLOOKUP(J41,'HOURLY RATES'!B$116:C$124,2,0)=0,$J$3,VLOOKUP(J41,'HOURLY RATES'!B$116:C$124,2,0))</f>
        <v>0</v>
      </c>
      <c r="I41" s="52">
        <f t="shared" si="10"/>
        <v>1</v>
      </c>
      <c r="J41" s="101" t="s">
        <v>224</v>
      </c>
      <c r="K41" s="150"/>
      <c r="L41" s="59">
        <f t="shared" si="11"/>
        <v>0</v>
      </c>
      <c r="M41" s="57">
        <f>IF(VLOOKUP(E41,'HOURLY RATES'!C$6:D$105,2,0)=0,$E$3,VLOOKUP(E41,'HOURLY RATES'!C$6:D$105,2,0))</f>
        <v>79.331999999999994</v>
      </c>
      <c r="N41" s="57">
        <f t="shared" si="12"/>
        <v>0</v>
      </c>
      <c r="O41" s="60"/>
      <c r="P41" s="60"/>
      <c r="Q41" s="61">
        <f t="shared" si="3"/>
        <v>0</v>
      </c>
      <c r="R41" s="164"/>
      <c r="S41" s="129">
        <f t="shared" si="4"/>
        <v>0</v>
      </c>
      <c r="T41" s="130">
        <f t="shared" si="5"/>
        <v>0</v>
      </c>
    </row>
    <row r="42" spans="1:20" s="7" customFormat="1" x14ac:dyDescent="0.25">
      <c r="A42" s="110">
        <f>IF(J42&lt;&gt;"",1+MAX($A$17:A41),"")</f>
        <v>18</v>
      </c>
      <c r="B42" s="49"/>
      <c r="C42" s="49"/>
      <c r="D42" s="102" t="s">
        <v>44</v>
      </c>
      <c r="E42" s="204" t="s">
        <v>45</v>
      </c>
      <c r="F42" s="234" t="s">
        <v>233</v>
      </c>
      <c r="G42" s="50">
        <v>1</v>
      </c>
      <c r="H42" s="51">
        <f>IF(VLOOKUP(J42,'HOURLY RATES'!B$116:C$124,2,0)=0,$J$3,VLOOKUP(J42,'HOURLY RATES'!B$116:C$124,2,0))</f>
        <v>0</v>
      </c>
      <c r="I42" s="52">
        <f t="shared" si="10"/>
        <v>1</v>
      </c>
      <c r="J42" s="101" t="s">
        <v>224</v>
      </c>
      <c r="K42" s="150"/>
      <c r="L42" s="59">
        <f t="shared" si="11"/>
        <v>0</v>
      </c>
      <c r="M42" s="57">
        <f>IF(VLOOKUP(E42,'HOURLY RATES'!C$6:D$105,2,0)=0,$E$3,VLOOKUP(E42,'HOURLY RATES'!C$6:D$105,2,0))</f>
        <v>79.331999999999994</v>
      </c>
      <c r="N42" s="57">
        <f t="shared" si="12"/>
        <v>0</v>
      </c>
      <c r="O42" s="60"/>
      <c r="P42" s="60"/>
      <c r="Q42" s="61">
        <f t="shared" si="3"/>
        <v>0</v>
      </c>
      <c r="R42" s="164"/>
      <c r="S42" s="129">
        <f t="shared" si="4"/>
        <v>0</v>
      </c>
      <c r="T42" s="130">
        <f t="shared" si="5"/>
        <v>0</v>
      </c>
    </row>
    <row r="43" spans="1:20" s="7" customFormat="1" x14ac:dyDescent="0.25">
      <c r="A43" s="110">
        <f>IF(J43&lt;&gt;"",1+MAX($A$17:A42),"")</f>
        <v>19</v>
      </c>
      <c r="B43" s="49"/>
      <c r="C43" s="49"/>
      <c r="D43" s="102" t="s">
        <v>44</v>
      </c>
      <c r="E43" s="204" t="s">
        <v>45</v>
      </c>
      <c r="F43" s="234" t="s">
        <v>234</v>
      </c>
      <c r="G43" s="50">
        <v>1</v>
      </c>
      <c r="H43" s="51">
        <f>IF(VLOOKUP(J43,'HOURLY RATES'!B$116:C$124,2,0)=0,$J$3,VLOOKUP(J43,'HOURLY RATES'!B$116:C$124,2,0))</f>
        <v>0</v>
      </c>
      <c r="I43" s="52">
        <f t="shared" si="10"/>
        <v>1</v>
      </c>
      <c r="J43" s="101" t="s">
        <v>224</v>
      </c>
      <c r="K43" s="150">
        <f>0.4%*($U$18)/M43</f>
        <v>621.5136895572241</v>
      </c>
      <c r="L43" s="59">
        <f t="shared" si="11"/>
        <v>621.5136895572241</v>
      </c>
      <c r="M43" s="57">
        <f>IF(VLOOKUP(E43,'HOURLY RATES'!C$6:D$105,2,0)=0,$E$3,VLOOKUP(E43,'HOURLY RATES'!C$6:D$105,2,0))</f>
        <v>79.331999999999994</v>
      </c>
      <c r="N43" s="57">
        <f t="shared" si="12"/>
        <v>49305.924019953702</v>
      </c>
      <c r="O43" s="60"/>
      <c r="P43" s="60"/>
      <c r="Q43" s="61">
        <f t="shared" si="3"/>
        <v>49305.924019953702</v>
      </c>
      <c r="R43" s="164"/>
      <c r="S43" s="129">
        <f t="shared" si="4"/>
        <v>62556.89110031625</v>
      </c>
      <c r="T43" s="130">
        <f t="shared" si="5"/>
        <v>62556.89110031625</v>
      </c>
    </row>
    <row r="44" spans="1:20" s="7" customFormat="1" x14ac:dyDescent="0.25">
      <c r="A44" s="110">
        <f>IF(J44&lt;&gt;"",1+MAX($A$17:A43),"")</f>
        <v>20</v>
      </c>
      <c r="B44" s="49"/>
      <c r="C44" s="49"/>
      <c r="D44" s="102" t="s">
        <v>44</v>
      </c>
      <c r="E44" s="204" t="s">
        <v>45</v>
      </c>
      <c r="F44" s="234" t="s">
        <v>235</v>
      </c>
      <c r="G44" s="50">
        <v>1</v>
      </c>
      <c r="H44" s="51">
        <f>IF(VLOOKUP(J44,'HOURLY RATES'!B$116:C$124,2,0)=0,$J$3,VLOOKUP(J44,'HOURLY RATES'!B$116:C$124,2,0))</f>
        <v>0</v>
      </c>
      <c r="I44" s="52">
        <f t="shared" si="10"/>
        <v>1</v>
      </c>
      <c r="J44" s="101" t="s">
        <v>224</v>
      </c>
      <c r="K44" s="150">
        <f>4.4%*($U$18)/M44</f>
        <v>6836.6505851294642</v>
      </c>
      <c r="L44" s="59">
        <f t="shared" si="11"/>
        <v>6836.6505851294642</v>
      </c>
      <c r="M44" s="57">
        <f>IF(VLOOKUP(E44,'HOURLY RATES'!C$6:D$105,2,0)=0,$E$3,VLOOKUP(E44,'HOURLY RATES'!C$6:D$105,2,0))</f>
        <v>79.331999999999994</v>
      </c>
      <c r="N44" s="57">
        <f t="shared" si="12"/>
        <v>542365.1642194906</v>
      </c>
      <c r="O44" s="60"/>
      <c r="P44" s="60"/>
      <c r="Q44" s="61">
        <f t="shared" si="3"/>
        <v>542365.1642194906</v>
      </c>
      <c r="R44" s="164"/>
      <c r="S44" s="129">
        <f t="shared" si="4"/>
        <v>688125.80210347869</v>
      </c>
      <c r="T44" s="130">
        <f t="shared" si="5"/>
        <v>688125.80210347869</v>
      </c>
    </row>
    <row r="45" spans="1:20" s="7" customFormat="1" x14ac:dyDescent="0.25">
      <c r="A45" s="110" t="str">
        <f>IF(J45&lt;&gt;"",1+MAX($A$17:A44),"")</f>
        <v/>
      </c>
      <c r="B45" s="49"/>
      <c r="C45" s="49"/>
      <c r="D45" s="102"/>
      <c r="E45" s="204"/>
      <c r="F45" s="234" t="s">
        <v>248</v>
      </c>
      <c r="G45" s="50"/>
      <c r="H45" s="51"/>
      <c r="I45" s="52"/>
      <c r="J45" s="101"/>
      <c r="K45" s="150"/>
      <c r="L45" s="56"/>
      <c r="M45" s="57"/>
      <c r="N45" s="57"/>
      <c r="O45" s="60"/>
      <c r="P45" s="60"/>
      <c r="Q45" s="61"/>
      <c r="R45" s="164"/>
      <c r="S45" s="129"/>
      <c r="T45" s="130"/>
    </row>
    <row r="46" spans="1:20" s="7" customFormat="1" x14ac:dyDescent="0.25">
      <c r="A46" s="110" t="str">
        <f>IF(J46&lt;&gt;"",1+MAX($A$17:A45),"")</f>
        <v/>
      </c>
      <c r="B46" s="49"/>
      <c r="C46" s="49"/>
      <c r="D46" s="102"/>
      <c r="E46" s="204"/>
      <c r="F46" s="235" t="s">
        <v>837</v>
      </c>
      <c r="G46" s="50"/>
      <c r="H46" s="51"/>
      <c r="I46" s="52"/>
      <c r="J46" s="101"/>
      <c r="K46" s="150"/>
      <c r="L46" s="56"/>
      <c r="M46" s="57"/>
      <c r="N46" s="57"/>
      <c r="O46" s="60"/>
      <c r="P46" s="60"/>
      <c r="Q46" s="61"/>
      <c r="R46" s="164"/>
      <c r="S46" s="129"/>
      <c r="T46" s="130"/>
    </row>
    <row r="47" spans="1:20" s="7" customFormat="1" x14ac:dyDescent="0.25">
      <c r="A47" s="110">
        <f>IF(J47&lt;&gt;"",1+MAX($A$17:A46),"")</f>
        <v>21</v>
      </c>
      <c r="B47" s="49"/>
      <c r="C47" s="49"/>
      <c r="D47" s="102" t="s">
        <v>44</v>
      </c>
      <c r="E47" s="204" t="s">
        <v>45</v>
      </c>
      <c r="F47" s="234" t="s">
        <v>236</v>
      </c>
      <c r="G47" s="50">
        <v>1</v>
      </c>
      <c r="H47" s="51">
        <f>IF(VLOOKUP(J47,'HOURLY RATES'!B$116:C$124,2,0)=0,$J$3,VLOOKUP(J47,'HOURLY RATES'!B$116:C$124,2,0))</f>
        <v>0</v>
      </c>
      <c r="I47" s="52">
        <f t="shared" ref="I47:I51" si="13">(G47*(1+H47))</f>
        <v>1</v>
      </c>
      <c r="J47" s="101" t="s">
        <v>224</v>
      </c>
      <c r="K47" s="150"/>
      <c r="L47" s="59">
        <f t="shared" ref="L47:L51" si="14">K47*I47</f>
        <v>0</v>
      </c>
      <c r="M47" s="57">
        <f>IF(VLOOKUP(E47,'HOURLY RATES'!C$6:D$105,2,0)=0,$E$3,VLOOKUP(E47,'HOURLY RATES'!C$6:D$105,2,0))</f>
        <v>79.331999999999994</v>
      </c>
      <c r="N47" s="57">
        <f t="shared" ref="N47:N51" si="15">M47*L47</f>
        <v>0</v>
      </c>
      <c r="O47" s="60"/>
      <c r="P47" s="60"/>
      <c r="Q47" s="61">
        <f t="shared" si="3"/>
        <v>0</v>
      </c>
      <c r="R47" s="164"/>
      <c r="S47" s="129">
        <f t="shared" si="4"/>
        <v>0</v>
      </c>
      <c r="T47" s="130">
        <f t="shared" si="5"/>
        <v>0</v>
      </c>
    </row>
    <row r="48" spans="1:20" s="7" customFormat="1" x14ac:dyDescent="0.25">
      <c r="A48" s="110">
        <f>IF(J48&lt;&gt;"",1+MAX($A$17:A47),"")</f>
        <v>22</v>
      </c>
      <c r="B48" s="49"/>
      <c r="C48" s="49"/>
      <c r="D48" s="102" t="s">
        <v>44</v>
      </c>
      <c r="E48" s="204" t="s">
        <v>45</v>
      </c>
      <c r="F48" s="234" t="s">
        <v>237</v>
      </c>
      <c r="G48" s="50">
        <v>1</v>
      </c>
      <c r="H48" s="51">
        <f>IF(VLOOKUP(J48,'HOURLY RATES'!B$116:C$124,2,0)=0,$J$3,VLOOKUP(J48,'HOURLY RATES'!B$116:C$124,2,0))</f>
        <v>0</v>
      </c>
      <c r="I48" s="52">
        <f t="shared" si="13"/>
        <v>1</v>
      </c>
      <c r="J48" s="101" t="s">
        <v>224</v>
      </c>
      <c r="K48" s="150"/>
      <c r="L48" s="59">
        <f t="shared" si="14"/>
        <v>0</v>
      </c>
      <c r="M48" s="57">
        <f>IF(VLOOKUP(E48,'HOURLY RATES'!C$6:D$105,2,0)=0,$E$3,VLOOKUP(E48,'HOURLY RATES'!C$6:D$105,2,0))</f>
        <v>79.331999999999994</v>
      </c>
      <c r="N48" s="57">
        <f t="shared" si="15"/>
        <v>0</v>
      </c>
      <c r="O48" s="60"/>
      <c r="P48" s="60"/>
      <c r="Q48" s="61">
        <f t="shared" si="3"/>
        <v>0</v>
      </c>
      <c r="R48" s="164"/>
      <c r="S48" s="129">
        <f t="shared" si="4"/>
        <v>0</v>
      </c>
      <c r="T48" s="130">
        <f t="shared" si="5"/>
        <v>0</v>
      </c>
    </row>
    <row r="49" spans="1:20" s="7" customFormat="1" x14ac:dyDescent="0.25">
      <c r="A49" s="110">
        <f>IF(J49&lt;&gt;"",1+MAX($A$17:A48),"")</f>
        <v>23</v>
      </c>
      <c r="B49" s="49"/>
      <c r="C49" s="49"/>
      <c r="D49" s="102" t="s">
        <v>44</v>
      </c>
      <c r="E49" s="204" t="s">
        <v>45</v>
      </c>
      <c r="F49" s="234" t="s">
        <v>238</v>
      </c>
      <c r="G49" s="50">
        <v>1</v>
      </c>
      <c r="H49" s="51">
        <f>IF(VLOOKUP(J49,'HOURLY RATES'!B$116:C$124,2,0)=0,$J$3,VLOOKUP(J49,'HOURLY RATES'!B$116:C$124,2,0))</f>
        <v>0</v>
      </c>
      <c r="I49" s="52">
        <f t="shared" si="13"/>
        <v>1</v>
      </c>
      <c r="J49" s="101" t="s">
        <v>224</v>
      </c>
      <c r="K49" s="150"/>
      <c r="L49" s="59">
        <f t="shared" si="14"/>
        <v>0</v>
      </c>
      <c r="M49" s="57">
        <f>IF(VLOOKUP(E49,'HOURLY RATES'!C$6:D$105,2,0)=0,$E$3,VLOOKUP(E49,'HOURLY RATES'!C$6:D$105,2,0))</f>
        <v>79.331999999999994</v>
      </c>
      <c r="N49" s="57">
        <f t="shared" si="15"/>
        <v>0</v>
      </c>
      <c r="O49" s="60"/>
      <c r="P49" s="60"/>
      <c r="Q49" s="61">
        <f t="shared" si="3"/>
        <v>0</v>
      </c>
      <c r="R49" s="164"/>
      <c r="S49" s="129">
        <f t="shared" si="4"/>
        <v>0</v>
      </c>
      <c r="T49" s="130">
        <f t="shared" si="5"/>
        <v>0</v>
      </c>
    </row>
    <row r="50" spans="1:20" s="7" customFormat="1" x14ac:dyDescent="0.25">
      <c r="A50" s="110">
        <f>IF(J50&lt;&gt;"",1+MAX($A$17:A49),"")</f>
        <v>24</v>
      </c>
      <c r="B50" s="49"/>
      <c r="C50" s="49"/>
      <c r="D50" s="102" t="s">
        <v>44</v>
      </c>
      <c r="E50" s="204" t="s">
        <v>45</v>
      </c>
      <c r="F50" s="234" t="s">
        <v>838</v>
      </c>
      <c r="G50" s="50">
        <v>1</v>
      </c>
      <c r="H50" s="51">
        <f>IF(VLOOKUP(J50,'HOURLY RATES'!B$116:C$124,2,0)=0,$J$3,VLOOKUP(J50,'HOURLY RATES'!B$116:C$124,2,0))</f>
        <v>0</v>
      </c>
      <c r="I50" s="52">
        <f t="shared" si="13"/>
        <v>1</v>
      </c>
      <c r="J50" s="101" t="s">
        <v>224</v>
      </c>
      <c r="K50" s="150"/>
      <c r="L50" s="59">
        <f t="shared" si="14"/>
        <v>0</v>
      </c>
      <c r="M50" s="57">
        <f>IF(VLOOKUP(E50,'HOURLY RATES'!C$6:D$105,2,0)=0,$E$3,VLOOKUP(E50,'HOURLY RATES'!C$6:D$105,2,0))</f>
        <v>79.331999999999994</v>
      </c>
      <c r="N50" s="57">
        <f t="shared" si="15"/>
        <v>0</v>
      </c>
      <c r="O50" s="60"/>
      <c r="P50" s="60"/>
      <c r="Q50" s="61">
        <f t="shared" si="3"/>
        <v>0</v>
      </c>
      <c r="R50" s="164"/>
      <c r="S50" s="129">
        <f t="shared" si="4"/>
        <v>0</v>
      </c>
      <c r="T50" s="130">
        <f t="shared" si="5"/>
        <v>0</v>
      </c>
    </row>
    <row r="51" spans="1:20" s="7" customFormat="1" x14ac:dyDescent="0.25">
      <c r="A51" s="110">
        <f>IF(J51&lt;&gt;"",1+MAX($A$17:A50),"")</f>
        <v>25</v>
      </c>
      <c r="B51" s="49"/>
      <c r="C51" s="49"/>
      <c r="D51" s="102" t="s">
        <v>44</v>
      </c>
      <c r="E51" s="204" t="s">
        <v>45</v>
      </c>
      <c r="F51" s="234" t="s">
        <v>239</v>
      </c>
      <c r="G51" s="50">
        <v>1</v>
      </c>
      <c r="H51" s="51">
        <f>IF(VLOOKUP(J51,'HOURLY RATES'!B$116:C$124,2,0)=0,$J$3,VLOOKUP(J51,'HOURLY RATES'!B$116:C$124,2,0))</f>
        <v>0</v>
      </c>
      <c r="I51" s="52">
        <f t="shared" si="13"/>
        <v>1</v>
      </c>
      <c r="J51" s="101" t="s">
        <v>224</v>
      </c>
      <c r="K51" s="150"/>
      <c r="L51" s="59">
        <f t="shared" si="14"/>
        <v>0</v>
      </c>
      <c r="M51" s="57">
        <f>IF(VLOOKUP(E51,'HOURLY RATES'!C$6:D$105,2,0)=0,$E$3,VLOOKUP(E51,'HOURLY RATES'!C$6:D$105,2,0))</f>
        <v>79.331999999999994</v>
      </c>
      <c r="N51" s="57">
        <f t="shared" si="15"/>
        <v>0</v>
      </c>
      <c r="O51" s="60"/>
      <c r="P51" s="60"/>
      <c r="Q51" s="61">
        <f t="shared" si="3"/>
        <v>0</v>
      </c>
      <c r="R51" s="164"/>
      <c r="S51" s="129">
        <f t="shared" si="4"/>
        <v>0</v>
      </c>
      <c r="T51" s="130">
        <f t="shared" si="5"/>
        <v>0</v>
      </c>
    </row>
    <row r="52" spans="1:20" s="7" customFormat="1" x14ac:dyDescent="0.25">
      <c r="A52" s="110" t="str">
        <f>IF(J52&lt;&gt;"",1+MAX($A$17:A51),"")</f>
        <v/>
      </c>
      <c r="B52" s="49"/>
      <c r="C52" s="49"/>
      <c r="D52" s="102"/>
      <c r="E52" s="204"/>
      <c r="F52" s="234" t="s">
        <v>248</v>
      </c>
      <c r="G52" s="50"/>
      <c r="H52" s="51"/>
      <c r="I52" s="52"/>
      <c r="J52" s="101"/>
      <c r="K52" s="150"/>
      <c r="L52" s="56"/>
      <c r="M52" s="57"/>
      <c r="N52" s="57"/>
      <c r="O52" s="60"/>
      <c r="P52" s="60"/>
      <c r="Q52" s="61"/>
      <c r="R52" s="164"/>
      <c r="S52" s="129"/>
      <c r="T52" s="130"/>
    </row>
    <row r="53" spans="1:20" s="7" customFormat="1" x14ac:dyDescent="0.25">
      <c r="A53" s="110" t="str">
        <f>IF(J53&lt;&gt;"",1+MAX($A$17:A52),"")</f>
        <v/>
      </c>
      <c r="B53" s="49"/>
      <c r="C53" s="49"/>
      <c r="D53" s="102"/>
      <c r="E53" s="204"/>
      <c r="F53" s="235" t="s">
        <v>839</v>
      </c>
      <c r="G53" s="50"/>
      <c r="H53" s="51"/>
      <c r="I53" s="52"/>
      <c r="J53" s="101"/>
      <c r="K53" s="150"/>
      <c r="L53" s="56"/>
      <c r="M53" s="57"/>
      <c r="N53" s="57"/>
      <c r="O53" s="60"/>
      <c r="P53" s="60"/>
      <c r="Q53" s="61"/>
      <c r="R53" s="164"/>
      <c r="S53" s="129"/>
      <c r="T53" s="130"/>
    </row>
    <row r="54" spans="1:20" s="7" customFormat="1" x14ac:dyDescent="0.25">
      <c r="A54" s="110">
        <f>IF(J54&lt;&gt;"",1+MAX($A$17:A53),"")</f>
        <v>26</v>
      </c>
      <c r="B54" s="49"/>
      <c r="C54" s="62"/>
      <c r="D54" s="102" t="s">
        <v>44</v>
      </c>
      <c r="E54" s="204" t="s">
        <v>45</v>
      </c>
      <c r="F54" s="234" t="s">
        <v>240</v>
      </c>
      <c r="G54" s="50">
        <v>1</v>
      </c>
      <c r="H54" s="51">
        <f>IF(VLOOKUP(J54,'HOURLY RATES'!B$116:C$124,2,0)=0,$J$3,VLOOKUP(J54,'HOURLY RATES'!B$116:C$124,2,0))</f>
        <v>0</v>
      </c>
      <c r="I54" s="52">
        <f t="shared" ref="I54:I57" si="16">(G54*(1+H54))</f>
        <v>1</v>
      </c>
      <c r="J54" s="101" t="s">
        <v>224</v>
      </c>
      <c r="K54" s="150">
        <f>0.8%*($U$18)/M54</f>
        <v>1243.0273791144482</v>
      </c>
      <c r="L54" s="59">
        <f t="shared" ref="L54:L57" si="17">K54*I54</f>
        <v>1243.0273791144482</v>
      </c>
      <c r="M54" s="57">
        <f>IF(VLOOKUP(E54,'HOURLY RATES'!C$6:D$105,2,0)=0,$E$3,VLOOKUP(E54,'HOURLY RATES'!C$6:D$105,2,0))</f>
        <v>79.331999999999994</v>
      </c>
      <c r="N54" s="57">
        <f t="shared" ref="N54:N57" si="18">M54*L54</f>
        <v>98611.848039907403</v>
      </c>
      <c r="O54" s="60"/>
      <c r="P54" s="60"/>
      <c r="Q54" s="61">
        <f t="shared" si="3"/>
        <v>98611.848039907403</v>
      </c>
      <c r="R54" s="164"/>
      <c r="S54" s="129">
        <f t="shared" si="4"/>
        <v>125113.7822006325</v>
      </c>
      <c r="T54" s="130">
        <f t="shared" si="5"/>
        <v>125113.7822006325</v>
      </c>
    </row>
    <row r="55" spans="1:20" s="7" customFormat="1" x14ac:dyDescent="0.25">
      <c r="A55" s="110">
        <f>IF(J55&lt;&gt;"",1+MAX($A$17:A54),"")</f>
        <v>27</v>
      </c>
      <c r="B55" s="49"/>
      <c r="C55" s="62"/>
      <c r="D55" s="102" t="s">
        <v>44</v>
      </c>
      <c r="E55" s="204" t="s">
        <v>45</v>
      </c>
      <c r="F55" s="234" t="s">
        <v>241</v>
      </c>
      <c r="G55" s="50">
        <v>1</v>
      </c>
      <c r="H55" s="51">
        <f>IF(VLOOKUP(J55,'HOURLY RATES'!B$116:C$124,2,0)=0,$J$3,VLOOKUP(J55,'HOURLY RATES'!B$116:C$124,2,0))</f>
        <v>0</v>
      </c>
      <c r="I55" s="52">
        <f t="shared" si="16"/>
        <v>1</v>
      </c>
      <c r="J55" s="101" t="s">
        <v>224</v>
      </c>
      <c r="K55" s="150">
        <f>2.65%*(U18)/M55</f>
        <v>4117.5281933166088</v>
      </c>
      <c r="L55" s="59">
        <f t="shared" si="17"/>
        <v>4117.5281933166088</v>
      </c>
      <c r="M55" s="57">
        <f>IF(VLOOKUP(E55,'HOURLY RATES'!C$6:D$105,2,0)=0,$E$3,VLOOKUP(E55,'HOURLY RATES'!C$6:D$105,2,0))</f>
        <v>79.331999999999994</v>
      </c>
      <c r="N55" s="57">
        <f t="shared" si="18"/>
        <v>326651.74663219322</v>
      </c>
      <c r="O55" s="60"/>
      <c r="P55" s="60"/>
      <c r="Q55" s="61">
        <f t="shared" si="3"/>
        <v>326651.74663219322</v>
      </c>
      <c r="R55" s="164"/>
      <c r="S55" s="129">
        <f t="shared" si="4"/>
        <v>414439.40353959508</v>
      </c>
      <c r="T55" s="130">
        <f t="shared" si="5"/>
        <v>414439.40353959508</v>
      </c>
    </row>
    <row r="56" spans="1:20" s="7" customFormat="1" x14ac:dyDescent="0.25">
      <c r="A56" s="110">
        <f>IF(J56&lt;&gt;"",1+MAX($A$17:A55),"")</f>
        <v>28</v>
      </c>
      <c r="B56" s="49"/>
      <c r="C56" s="62"/>
      <c r="D56" s="102" t="s">
        <v>44</v>
      </c>
      <c r="E56" s="204" t="s">
        <v>45</v>
      </c>
      <c r="F56" s="234" t="s">
        <v>840</v>
      </c>
      <c r="G56" s="50">
        <v>1</v>
      </c>
      <c r="H56" s="51">
        <f>IF(VLOOKUP(J56,'HOURLY RATES'!B$116:C$124,2,0)=0,$J$3,VLOOKUP(J56,'HOURLY RATES'!B$116:C$124,2,0))</f>
        <v>0</v>
      </c>
      <c r="I56" s="52">
        <f t="shared" si="16"/>
        <v>1</v>
      </c>
      <c r="J56" s="101" t="s">
        <v>224</v>
      </c>
      <c r="K56" s="150"/>
      <c r="L56" s="59">
        <f t="shared" si="17"/>
        <v>0</v>
      </c>
      <c r="M56" s="57">
        <f>IF(VLOOKUP(E56,'HOURLY RATES'!C$6:D$105,2,0)=0,$E$3,VLOOKUP(E56,'HOURLY RATES'!C$6:D$105,2,0))</f>
        <v>79.331999999999994</v>
      </c>
      <c r="N56" s="57">
        <f t="shared" si="18"/>
        <v>0</v>
      </c>
      <c r="O56" s="60"/>
      <c r="P56" s="60"/>
      <c r="Q56" s="61">
        <f t="shared" si="3"/>
        <v>0</v>
      </c>
      <c r="R56" s="164"/>
      <c r="S56" s="129">
        <f t="shared" si="4"/>
        <v>0</v>
      </c>
      <c r="T56" s="130">
        <f t="shared" si="5"/>
        <v>0</v>
      </c>
    </row>
    <row r="57" spans="1:20" s="7" customFormat="1" x14ac:dyDescent="0.25">
      <c r="A57" s="110">
        <f>IF(J57&lt;&gt;"",1+MAX($A$17:A56),"")</f>
        <v>29</v>
      </c>
      <c r="B57" s="49"/>
      <c r="C57" s="62"/>
      <c r="D57" s="102" t="s">
        <v>44</v>
      </c>
      <c r="E57" s="204" t="s">
        <v>45</v>
      </c>
      <c r="F57" s="234" t="s">
        <v>242</v>
      </c>
      <c r="G57" s="50">
        <v>1</v>
      </c>
      <c r="H57" s="51">
        <f>IF(VLOOKUP(J57,'HOURLY RATES'!B$116:C$124,2,0)=0,$J$3,VLOOKUP(J57,'HOURLY RATES'!B$116:C$124,2,0))</f>
        <v>0</v>
      </c>
      <c r="I57" s="52">
        <f t="shared" si="16"/>
        <v>1</v>
      </c>
      <c r="J57" s="101" t="s">
        <v>224</v>
      </c>
      <c r="K57" s="150"/>
      <c r="L57" s="59">
        <f t="shared" si="17"/>
        <v>0</v>
      </c>
      <c r="M57" s="57">
        <f>IF(VLOOKUP(E57,'HOURLY RATES'!C$6:D$105,2,0)=0,$E$3,VLOOKUP(E57,'HOURLY RATES'!C$6:D$105,2,0))</f>
        <v>79.331999999999994</v>
      </c>
      <c r="N57" s="57">
        <f t="shared" si="18"/>
        <v>0</v>
      </c>
      <c r="O57" s="60"/>
      <c r="P57" s="60"/>
      <c r="Q57" s="61">
        <f t="shared" si="3"/>
        <v>0</v>
      </c>
      <c r="R57" s="164"/>
      <c r="S57" s="129">
        <f t="shared" si="4"/>
        <v>0</v>
      </c>
      <c r="T57" s="130">
        <f t="shared" si="5"/>
        <v>0</v>
      </c>
    </row>
    <row r="58" spans="1:20" s="7" customFormat="1" x14ac:dyDescent="0.25">
      <c r="A58" s="110" t="str">
        <f>IF(J58&lt;&gt;"",1+MAX($A$17:A57),"")</f>
        <v/>
      </c>
      <c r="B58" s="49"/>
      <c r="C58" s="62"/>
      <c r="D58" s="102"/>
      <c r="E58" s="204"/>
      <c r="F58" s="234" t="s">
        <v>248</v>
      </c>
      <c r="G58" s="50"/>
      <c r="H58" s="51"/>
      <c r="I58" s="52"/>
      <c r="J58" s="101"/>
      <c r="K58" s="150"/>
      <c r="L58" s="56"/>
      <c r="M58" s="57"/>
      <c r="N58" s="57"/>
      <c r="O58" s="60"/>
      <c r="P58" s="60"/>
      <c r="Q58" s="61"/>
      <c r="R58" s="164"/>
      <c r="S58" s="129"/>
      <c r="T58" s="130"/>
    </row>
    <row r="59" spans="1:20" s="7" customFormat="1" x14ac:dyDescent="0.25">
      <c r="A59" s="110" t="str">
        <f>IF(J59&lt;&gt;"",1+MAX($A$17:A58),"")</f>
        <v/>
      </c>
      <c r="B59" s="49"/>
      <c r="C59" s="62"/>
      <c r="D59" s="102"/>
      <c r="E59" s="204"/>
      <c r="F59" s="235" t="s">
        <v>243</v>
      </c>
      <c r="G59" s="50"/>
      <c r="H59" s="51"/>
      <c r="I59" s="52"/>
      <c r="J59" s="101"/>
      <c r="K59" s="150"/>
      <c r="L59" s="56"/>
      <c r="M59" s="57"/>
      <c r="N59" s="57"/>
      <c r="O59" s="60"/>
      <c r="P59" s="60"/>
      <c r="Q59" s="61"/>
      <c r="R59" s="164"/>
      <c r="S59" s="129"/>
      <c r="T59" s="130"/>
    </row>
    <row r="60" spans="1:20" s="7" customFormat="1" x14ac:dyDescent="0.25">
      <c r="A60" s="110">
        <f>IF(J60&lt;&gt;"",1+MAX($A$17:A59),"")</f>
        <v>30</v>
      </c>
      <c r="B60" s="49"/>
      <c r="C60" s="62"/>
      <c r="D60" s="102" t="s">
        <v>44</v>
      </c>
      <c r="E60" s="204" t="s">
        <v>45</v>
      </c>
      <c r="F60" s="234" t="s">
        <v>244</v>
      </c>
      <c r="G60" s="50">
        <v>1</v>
      </c>
      <c r="H60" s="51">
        <f>IF(VLOOKUP(J60,'HOURLY RATES'!B$116:C$124,2,0)=0,$J$3,VLOOKUP(J60,'HOURLY RATES'!B$116:C$124,2,0))</f>
        <v>0</v>
      </c>
      <c r="I60" s="52">
        <f t="shared" ref="I60:I62" si="19">(G60*(1+H60))</f>
        <v>1</v>
      </c>
      <c r="J60" s="101" t="s">
        <v>224</v>
      </c>
      <c r="K60" s="150"/>
      <c r="L60" s="59">
        <f t="shared" ref="L60:L62" si="20">K60*I60</f>
        <v>0</v>
      </c>
      <c r="M60" s="57">
        <f>IF(VLOOKUP(E60,'HOURLY RATES'!C$6:D$105,2,0)=0,$E$3,VLOOKUP(E60,'HOURLY RATES'!C$6:D$105,2,0))</f>
        <v>79.331999999999994</v>
      </c>
      <c r="N60" s="57">
        <f t="shared" ref="N60:N62" si="21">M60*L60</f>
        <v>0</v>
      </c>
      <c r="O60" s="60"/>
      <c r="P60" s="60"/>
      <c r="Q60" s="61">
        <f t="shared" si="3"/>
        <v>0</v>
      </c>
      <c r="R60" s="164"/>
      <c r="S60" s="129">
        <f t="shared" si="4"/>
        <v>0</v>
      </c>
      <c r="T60" s="130">
        <f t="shared" si="5"/>
        <v>0</v>
      </c>
    </row>
    <row r="61" spans="1:20" s="7" customFormat="1" x14ac:dyDescent="0.25">
      <c r="A61" s="110">
        <f>IF(J61&lt;&gt;"",1+MAX($A$17:A60),"")</f>
        <v>31</v>
      </c>
      <c r="B61" s="49"/>
      <c r="C61" s="62"/>
      <c r="D61" s="102" t="s">
        <v>44</v>
      </c>
      <c r="E61" s="204" t="s">
        <v>45</v>
      </c>
      <c r="F61" s="234" t="s">
        <v>245</v>
      </c>
      <c r="G61" s="50">
        <v>1</v>
      </c>
      <c r="H61" s="51">
        <f>IF(VLOOKUP(J61,'HOURLY RATES'!B$116:C$124,2,0)=0,$J$3,VLOOKUP(J61,'HOURLY RATES'!B$116:C$124,2,0))</f>
        <v>0</v>
      </c>
      <c r="I61" s="52">
        <f t="shared" si="19"/>
        <v>1</v>
      </c>
      <c r="J61" s="101" t="s">
        <v>224</v>
      </c>
      <c r="K61" s="150"/>
      <c r="L61" s="59">
        <f t="shared" si="20"/>
        <v>0</v>
      </c>
      <c r="M61" s="57">
        <f>IF(VLOOKUP(E61,'HOURLY RATES'!C$6:D$105,2,0)=0,$E$3,VLOOKUP(E61,'HOURLY RATES'!C$6:D$105,2,0))</f>
        <v>79.331999999999994</v>
      </c>
      <c r="N61" s="57">
        <f t="shared" si="21"/>
        <v>0</v>
      </c>
      <c r="O61" s="60"/>
      <c r="P61" s="60"/>
      <c r="Q61" s="61">
        <f t="shared" si="3"/>
        <v>0</v>
      </c>
      <c r="R61" s="164"/>
      <c r="S61" s="129">
        <f t="shared" si="4"/>
        <v>0</v>
      </c>
      <c r="T61" s="130">
        <f t="shared" si="5"/>
        <v>0</v>
      </c>
    </row>
    <row r="62" spans="1:20" s="7" customFormat="1" x14ac:dyDescent="0.25">
      <c r="A62" s="110">
        <f>IF(J62&lt;&gt;"",1+MAX($A$17:A61),"")</f>
        <v>32</v>
      </c>
      <c r="B62" s="49"/>
      <c r="C62" s="62"/>
      <c r="D62" s="102" t="s">
        <v>44</v>
      </c>
      <c r="E62" s="204" t="s">
        <v>45</v>
      </c>
      <c r="F62" s="234" t="s">
        <v>246</v>
      </c>
      <c r="G62" s="50">
        <v>1</v>
      </c>
      <c r="H62" s="51">
        <f>IF(VLOOKUP(J62,'HOURLY RATES'!B$116:C$124,2,0)=0,$J$3,VLOOKUP(J62,'HOURLY RATES'!B$116:C$124,2,0))</f>
        <v>0</v>
      </c>
      <c r="I62" s="52">
        <f t="shared" si="19"/>
        <v>1</v>
      </c>
      <c r="J62" s="101" t="s">
        <v>224</v>
      </c>
      <c r="K62" s="150"/>
      <c r="L62" s="59">
        <f t="shared" si="20"/>
        <v>0</v>
      </c>
      <c r="M62" s="57">
        <f>IF(VLOOKUP(E62,'HOURLY RATES'!C$6:D$105,2,0)=0,$E$3,VLOOKUP(E62,'HOURLY RATES'!C$6:D$105,2,0))</f>
        <v>79.331999999999994</v>
      </c>
      <c r="N62" s="57">
        <f t="shared" si="21"/>
        <v>0</v>
      </c>
      <c r="O62" s="60"/>
      <c r="P62" s="60"/>
      <c r="Q62" s="61">
        <f t="shared" si="3"/>
        <v>0</v>
      </c>
      <c r="R62" s="164"/>
      <c r="S62" s="129">
        <f t="shared" si="4"/>
        <v>0</v>
      </c>
      <c r="T62" s="130">
        <f t="shared" si="5"/>
        <v>0</v>
      </c>
    </row>
    <row r="63" spans="1:20" s="7" customFormat="1" x14ac:dyDescent="0.25">
      <c r="A63" s="110" t="str">
        <f>IF(J63&lt;&gt;"",1+MAX($A$17:A62),"")</f>
        <v/>
      </c>
      <c r="B63" s="49"/>
      <c r="C63" s="62"/>
      <c r="D63" s="102"/>
      <c r="E63" s="204"/>
      <c r="F63" s="234" t="s">
        <v>248</v>
      </c>
      <c r="G63" s="50"/>
      <c r="H63" s="51"/>
      <c r="I63" s="52"/>
      <c r="J63" s="101"/>
      <c r="K63" s="150"/>
      <c r="L63" s="56"/>
      <c r="M63" s="57"/>
      <c r="N63" s="57"/>
      <c r="O63" s="60"/>
      <c r="P63" s="60"/>
      <c r="Q63" s="61"/>
      <c r="R63" s="164"/>
      <c r="S63" s="129"/>
      <c r="T63" s="130"/>
    </row>
    <row r="64" spans="1:20" s="7" customFormat="1" x14ac:dyDescent="0.25">
      <c r="A64" s="110" t="str">
        <f>IF(J64&lt;&gt;"",1+MAX($A$17:A63),"")</f>
        <v/>
      </c>
      <c r="B64" s="49"/>
      <c r="C64" s="62"/>
      <c r="D64" s="102"/>
      <c r="E64" s="204"/>
      <c r="F64" s="235" t="s">
        <v>247</v>
      </c>
      <c r="G64" s="50"/>
      <c r="H64" s="51"/>
      <c r="I64" s="52"/>
      <c r="J64" s="101"/>
      <c r="K64" s="150"/>
      <c r="L64" s="59"/>
      <c r="M64" s="57"/>
      <c r="N64" s="57"/>
      <c r="O64" s="60"/>
      <c r="P64" s="60"/>
      <c r="Q64" s="61"/>
      <c r="R64" s="164"/>
      <c r="S64" s="129"/>
      <c r="T64" s="130"/>
    </row>
    <row r="65" spans="1:20" s="7" customFormat="1" x14ac:dyDescent="0.25">
      <c r="A65" s="110">
        <f>IF(J65&lt;&gt;"",1+MAX($A$17:A64),"")</f>
        <v>33</v>
      </c>
      <c r="B65" s="49"/>
      <c r="C65" s="62"/>
      <c r="D65" s="102" t="s">
        <v>44</v>
      </c>
      <c r="E65" s="204" t="s">
        <v>45</v>
      </c>
      <c r="F65" s="234" t="s">
        <v>247</v>
      </c>
      <c r="G65" s="50">
        <v>1</v>
      </c>
      <c r="H65" s="51">
        <f>IF(VLOOKUP(J65,'HOURLY RATES'!B$116:C$124,2,0)=0,$J$3,VLOOKUP(J65,'HOURLY RATES'!B$116:C$124,2,0))</f>
        <v>0</v>
      </c>
      <c r="I65" s="52">
        <f t="shared" ref="I65" si="22">(G65*(1+H65))</f>
        <v>1</v>
      </c>
      <c r="J65" s="101" t="s">
        <v>224</v>
      </c>
      <c r="K65" s="150">
        <f>4.67%*($U$18)/M65</f>
        <v>7256.1723255805891</v>
      </c>
      <c r="L65" s="59">
        <f t="shared" ref="L65" si="23">K65*I65</f>
        <v>7256.1723255805891</v>
      </c>
      <c r="M65" s="57">
        <f>IF(VLOOKUP(E65,'HOURLY RATES'!C$6:D$105,2,0)=0,$E$3,VLOOKUP(E65,'HOURLY RATES'!C$6:D$105,2,0))</f>
        <v>79.331999999999994</v>
      </c>
      <c r="N65" s="57">
        <f t="shared" ref="N65" si="24">M65*L65</f>
        <v>575646.66293295927</v>
      </c>
      <c r="O65" s="60"/>
      <c r="P65" s="60"/>
      <c r="Q65" s="61">
        <f t="shared" ref="Q65" si="25">P65+N65</f>
        <v>575646.66293295927</v>
      </c>
      <c r="R65" s="164"/>
      <c r="S65" s="129">
        <f t="shared" si="4"/>
        <v>730351.70359619206</v>
      </c>
      <c r="T65" s="130">
        <f t="shared" si="5"/>
        <v>730351.70359619206</v>
      </c>
    </row>
    <row r="66" spans="1:20" s="7" customFormat="1" x14ac:dyDescent="0.25">
      <c r="A66" s="212" t="str">
        <f>IF(J66&lt;&gt;"",1+MAX($A$17:A65),"")</f>
        <v/>
      </c>
      <c r="B66" s="213"/>
      <c r="C66" s="214"/>
      <c r="D66" s="115"/>
      <c r="E66" s="215"/>
      <c r="F66" s="236" t="s">
        <v>248</v>
      </c>
      <c r="G66" s="216"/>
      <c r="H66" s="217"/>
      <c r="I66" s="218"/>
      <c r="J66" s="219"/>
      <c r="K66" s="220"/>
      <c r="L66" s="221"/>
      <c r="M66" s="196"/>
      <c r="N66" s="196"/>
      <c r="O66" s="197"/>
      <c r="P66" s="197"/>
      <c r="Q66" s="198"/>
      <c r="R66" s="164"/>
      <c r="S66" s="129"/>
      <c r="T66" s="130"/>
    </row>
    <row r="67" spans="1:20" s="7" customFormat="1" x14ac:dyDescent="0.25">
      <c r="A67" s="222" t="str">
        <f>IF(J67&lt;&gt;"",1+MAX($A$17:A66),"")</f>
        <v/>
      </c>
      <c r="B67" s="222"/>
      <c r="C67" s="222"/>
      <c r="D67" s="222" t="s">
        <v>50</v>
      </c>
      <c r="E67" s="223"/>
      <c r="F67" s="237" t="s">
        <v>742</v>
      </c>
      <c r="G67" s="225"/>
      <c r="H67" s="224"/>
      <c r="I67" s="226"/>
      <c r="J67" s="226"/>
      <c r="K67" s="224"/>
      <c r="L67" s="224"/>
      <c r="M67" s="224"/>
      <c r="N67" s="224"/>
      <c r="O67" s="224"/>
      <c r="P67" s="224"/>
      <c r="Q67" s="224"/>
      <c r="R67" s="227">
        <f>SUM(Q68:Q234)</f>
        <v>12326481.004988423</v>
      </c>
      <c r="S67" s="129"/>
      <c r="T67" s="130"/>
    </row>
    <row r="68" spans="1:20" s="7" customFormat="1" x14ac:dyDescent="0.25">
      <c r="A68" s="110" t="str">
        <f>IF(J68&lt;&gt;"",1+MAX($A$17:A67),"")</f>
        <v/>
      </c>
      <c r="B68" s="104"/>
      <c r="C68" s="104"/>
      <c r="D68" s="102"/>
      <c r="E68" s="117"/>
      <c r="F68" s="238" t="s">
        <v>248</v>
      </c>
      <c r="G68" s="103"/>
      <c r="H68" s="105"/>
      <c r="I68" s="106"/>
      <c r="J68" s="114"/>
      <c r="K68" s="150"/>
      <c r="L68" s="151"/>
      <c r="M68" s="152"/>
      <c r="N68" s="152"/>
      <c r="O68" s="107"/>
      <c r="P68" s="107"/>
      <c r="Q68" s="153"/>
      <c r="R68" s="116"/>
      <c r="S68" s="129"/>
      <c r="T68" s="130"/>
    </row>
    <row r="69" spans="1:20" s="7" customFormat="1" x14ac:dyDescent="0.25">
      <c r="A69" s="110" t="str">
        <f>IF(J69&lt;&gt;"",1+MAX($A$17:A68),"")</f>
        <v/>
      </c>
      <c r="B69" s="104"/>
      <c r="C69" s="108"/>
      <c r="D69" s="102"/>
      <c r="E69" s="117"/>
      <c r="F69" s="239" t="s">
        <v>743</v>
      </c>
      <c r="G69" s="103"/>
      <c r="H69" s="105"/>
      <c r="I69" s="106"/>
      <c r="J69" s="101"/>
      <c r="K69" s="150"/>
      <c r="L69" s="151"/>
      <c r="M69" s="152"/>
      <c r="N69" s="152"/>
      <c r="O69" s="107"/>
      <c r="P69" s="107"/>
      <c r="Q69" s="153"/>
      <c r="R69" s="116"/>
      <c r="S69" s="129"/>
      <c r="T69" s="130"/>
    </row>
    <row r="70" spans="1:20" s="7" customFormat="1" x14ac:dyDescent="0.25">
      <c r="A70" s="110">
        <f>IF(J70&lt;&gt;"",1+MAX($A$17:A69),"")</f>
        <v>34</v>
      </c>
      <c r="B70" s="104" t="s">
        <v>744</v>
      </c>
      <c r="C70" s="104" t="s">
        <v>745</v>
      </c>
      <c r="D70" s="102" t="s">
        <v>50</v>
      </c>
      <c r="E70" s="117" t="s">
        <v>168</v>
      </c>
      <c r="F70" s="240" t="s">
        <v>841</v>
      </c>
      <c r="G70" s="103">
        <f>1*7*27.48</f>
        <v>192.36</v>
      </c>
      <c r="H70" s="51">
        <f>IF(VLOOKUP(J70,'HOURLY RATES'!B$116:C$124,2,0)=0,$J$3,VLOOKUP(J70,'HOURLY RATES'!B$116:C$124,2,0))</f>
        <v>0.05</v>
      </c>
      <c r="I70" s="52">
        <f t="shared" ref="I70:I133" si="26">(G70*(1+H70))</f>
        <v>201.97800000000004</v>
      </c>
      <c r="J70" s="101" t="s">
        <v>253</v>
      </c>
      <c r="K70" s="150">
        <v>4.3200000000000002E-2</v>
      </c>
      <c r="L70" s="151">
        <f>K70*I70</f>
        <v>8.7254496000000028</v>
      </c>
      <c r="M70" s="57">
        <f>IF(VLOOKUP(E70,'HOURLY RATES'!C$6:D$105,2,0)=0,$E$3,VLOOKUP(E70,'HOURLY RATES'!C$6:D$105,2,0))</f>
        <v>102</v>
      </c>
      <c r="N70" s="152">
        <f t="shared" ref="N70:N129" si="27">M70*L70</f>
        <v>889.99585920000027</v>
      </c>
      <c r="O70" s="107">
        <v>2.6</v>
      </c>
      <c r="P70" s="107">
        <f t="shared" ref="P70:P133" si="28">O70*I70</f>
        <v>525.14280000000008</v>
      </c>
      <c r="Q70" s="153">
        <f t="shared" ref="Q70:Q133" si="29">P70+N70</f>
        <v>1415.1386592000003</v>
      </c>
      <c r="R70" s="116"/>
      <c r="S70" s="129">
        <f t="shared" ref="S70:S84" si="30">((((N70*(1+$D$7))+(P70*(1+$D$5+$D$6)))*(1+$D$8)))/I70</f>
        <v>9.0656024199999994</v>
      </c>
      <c r="T70" s="130">
        <f t="shared" ref="T70:T84" si="31">S70*I70</f>
        <v>1831.0522455867601</v>
      </c>
    </row>
    <row r="71" spans="1:20" s="7" customFormat="1" x14ac:dyDescent="0.25">
      <c r="A71" s="110">
        <f>IF(J71&lt;&gt;"",1+MAX($A$17:A70),"")</f>
        <v>35</v>
      </c>
      <c r="B71" s="104" t="s">
        <v>744</v>
      </c>
      <c r="C71" s="104" t="s">
        <v>745</v>
      </c>
      <c r="D71" s="102" t="s">
        <v>50</v>
      </c>
      <c r="E71" s="117" t="s">
        <v>168</v>
      </c>
      <c r="F71" s="240" t="s">
        <v>842</v>
      </c>
      <c r="G71" s="103">
        <f>1*8*27.48</f>
        <v>219.84</v>
      </c>
      <c r="H71" s="51">
        <f>IF(VLOOKUP(J71,'HOURLY RATES'!B$116:C$124,2,0)=0,$J$3,VLOOKUP(J71,'HOURLY RATES'!B$116:C$124,2,0))</f>
        <v>0.05</v>
      </c>
      <c r="I71" s="52">
        <f t="shared" si="26"/>
        <v>230.83200000000002</v>
      </c>
      <c r="J71" s="101" t="s">
        <v>253</v>
      </c>
      <c r="K71" s="150">
        <v>4.3200000000000002E-2</v>
      </c>
      <c r="L71" s="151">
        <f t="shared" ref="L71:L128" si="32">K71*I71</f>
        <v>9.9719424000000014</v>
      </c>
      <c r="M71" s="57">
        <f>IF(VLOOKUP(E71,'HOURLY RATES'!C$6:D$105,2,0)=0,$E$3,VLOOKUP(E71,'HOURLY RATES'!C$6:D$105,2,0))</f>
        <v>102</v>
      </c>
      <c r="N71" s="152">
        <f t="shared" ref="N71:N128" si="33">M71*L71</f>
        <v>1017.1381248000001</v>
      </c>
      <c r="O71" s="107">
        <v>2.6</v>
      </c>
      <c r="P71" s="107">
        <f t="shared" si="28"/>
        <v>600.16320000000007</v>
      </c>
      <c r="Q71" s="153">
        <f t="shared" si="29"/>
        <v>1617.3013248000002</v>
      </c>
      <c r="R71" s="116"/>
      <c r="S71" s="129">
        <f t="shared" si="30"/>
        <v>9.0656024199999994</v>
      </c>
      <c r="T71" s="130">
        <f t="shared" si="31"/>
        <v>2092.6311378134401</v>
      </c>
    </row>
    <row r="72" spans="1:20" s="7" customFormat="1" x14ac:dyDescent="0.25">
      <c r="A72" s="110">
        <f>IF(J72&lt;&gt;"",1+MAX($A$17:A71),"")</f>
        <v>36</v>
      </c>
      <c r="B72" s="104" t="s">
        <v>744</v>
      </c>
      <c r="C72" s="104" t="s">
        <v>745</v>
      </c>
      <c r="D72" s="102" t="s">
        <v>50</v>
      </c>
      <c r="E72" s="117" t="s">
        <v>168</v>
      </c>
      <c r="F72" s="240" t="s">
        <v>843</v>
      </c>
      <c r="G72" s="103">
        <f>1*11*27.48</f>
        <v>302.28000000000003</v>
      </c>
      <c r="H72" s="51">
        <f>IF(VLOOKUP(J72,'HOURLY RATES'!B$116:C$124,2,0)=0,$J$3,VLOOKUP(J72,'HOURLY RATES'!B$116:C$124,2,0))</f>
        <v>0.05</v>
      </c>
      <c r="I72" s="52">
        <f t="shared" si="26"/>
        <v>317.39400000000006</v>
      </c>
      <c r="J72" s="101" t="s">
        <v>253</v>
      </c>
      <c r="K72" s="150">
        <v>4.3200000000000002E-2</v>
      </c>
      <c r="L72" s="151">
        <f t="shared" si="32"/>
        <v>13.711420800000003</v>
      </c>
      <c r="M72" s="57">
        <f>IF(VLOOKUP(E72,'HOURLY RATES'!C$6:D$105,2,0)=0,$E$3,VLOOKUP(E72,'HOURLY RATES'!C$6:D$105,2,0))</f>
        <v>102</v>
      </c>
      <c r="N72" s="152">
        <f t="shared" si="33"/>
        <v>1398.5649216000002</v>
      </c>
      <c r="O72" s="107">
        <v>2.6</v>
      </c>
      <c r="P72" s="107">
        <f t="shared" si="28"/>
        <v>825.22440000000017</v>
      </c>
      <c r="Q72" s="153">
        <f t="shared" si="29"/>
        <v>2223.7893216000002</v>
      </c>
      <c r="R72" s="116"/>
      <c r="S72" s="129">
        <f t="shared" si="30"/>
        <v>9.0656024199999994</v>
      </c>
      <c r="T72" s="130">
        <f t="shared" si="31"/>
        <v>2877.3678144934802</v>
      </c>
    </row>
    <row r="73" spans="1:20" s="7" customFormat="1" x14ac:dyDescent="0.25">
      <c r="A73" s="110">
        <f>IF(J73&lt;&gt;"",1+MAX($A$17:A72),"")</f>
        <v>37</v>
      </c>
      <c r="B73" s="104" t="s">
        <v>744</v>
      </c>
      <c r="C73" s="104" t="s">
        <v>745</v>
      </c>
      <c r="D73" s="102" t="s">
        <v>50</v>
      </c>
      <c r="E73" s="117" t="s">
        <v>168</v>
      </c>
      <c r="F73" s="240" t="s">
        <v>844</v>
      </c>
      <c r="G73" s="103">
        <f>3*14*27.48</f>
        <v>1154.1600000000001</v>
      </c>
      <c r="H73" s="51">
        <f>IF(VLOOKUP(J73,'HOURLY RATES'!B$116:C$124,2,0)=0,$J$3,VLOOKUP(J73,'HOURLY RATES'!B$116:C$124,2,0))</f>
        <v>0.05</v>
      </c>
      <c r="I73" s="52">
        <f t="shared" si="26"/>
        <v>1211.8680000000002</v>
      </c>
      <c r="J73" s="101" t="s">
        <v>253</v>
      </c>
      <c r="K73" s="150">
        <v>4.3200000000000002E-2</v>
      </c>
      <c r="L73" s="151">
        <f t="shared" si="32"/>
        <v>52.352697600000013</v>
      </c>
      <c r="M73" s="57">
        <f>IF(VLOOKUP(E73,'HOURLY RATES'!C$6:D$105,2,0)=0,$E$3,VLOOKUP(E73,'HOURLY RATES'!C$6:D$105,2,0))</f>
        <v>102</v>
      </c>
      <c r="N73" s="152">
        <f t="shared" si="33"/>
        <v>5339.9751552000016</v>
      </c>
      <c r="O73" s="107">
        <v>2.6</v>
      </c>
      <c r="P73" s="107">
        <f t="shared" si="28"/>
        <v>3150.8568000000005</v>
      </c>
      <c r="Q73" s="153">
        <f t="shared" si="29"/>
        <v>8490.831955200003</v>
      </c>
      <c r="R73" s="116"/>
      <c r="S73" s="129">
        <f t="shared" si="30"/>
        <v>9.0656024200000012</v>
      </c>
      <c r="T73" s="130">
        <f t="shared" si="31"/>
        <v>10986.313473520562</v>
      </c>
    </row>
    <row r="74" spans="1:20" s="7" customFormat="1" x14ac:dyDescent="0.25">
      <c r="A74" s="110">
        <f>IF(J74&lt;&gt;"",1+MAX($A$17:A73),"")</f>
        <v>38</v>
      </c>
      <c r="B74" s="104" t="s">
        <v>744</v>
      </c>
      <c r="C74" s="104" t="s">
        <v>745</v>
      </c>
      <c r="D74" s="102" t="s">
        <v>50</v>
      </c>
      <c r="E74" s="117" t="s">
        <v>168</v>
      </c>
      <c r="F74" s="240" t="s">
        <v>845</v>
      </c>
      <c r="G74" s="103">
        <f>3*15*27.48</f>
        <v>1236.5999999999999</v>
      </c>
      <c r="H74" s="51">
        <f>IF(VLOOKUP(J74,'HOURLY RATES'!B$116:C$124,2,0)=0,$J$3,VLOOKUP(J74,'HOURLY RATES'!B$116:C$124,2,0))</f>
        <v>0.05</v>
      </c>
      <c r="I74" s="52">
        <f t="shared" si="26"/>
        <v>1298.43</v>
      </c>
      <c r="J74" s="101" t="s">
        <v>253</v>
      </c>
      <c r="K74" s="150">
        <v>4.3200000000000002E-2</v>
      </c>
      <c r="L74" s="151">
        <f t="shared" si="32"/>
        <v>56.092176000000009</v>
      </c>
      <c r="M74" s="57">
        <f>IF(VLOOKUP(E74,'HOURLY RATES'!C$6:D$105,2,0)=0,$E$3,VLOOKUP(E74,'HOURLY RATES'!C$6:D$105,2,0))</f>
        <v>102</v>
      </c>
      <c r="N74" s="152">
        <f t="shared" si="33"/>
        <v>5721.4019520000011</v>
      </c>
      <c r="O74" s="107">
        <v>2.6</v>
      </c>
      <c r="P74" s="107">
        <f t="shared" si="28"/>
        <v>3375.9180000000001</v>
      </c>
      <c r="Q74" s="153">
        <f t="shared" si="29"/>
        <v>9097.3199520000016</v>
      </c>
      <c r="R74" s="116"/>
      <c r="S74" s="129">
        <f t="shared" si="30"/>
        <v>9.0656024199999994</v>
      </c>
      <c r="T74" s="130">
        <f t="shared" si="31"/>
        <v>11771.050150200599</v>
      </c>
    </row>
    <row r="75" spans="1:20" s="7" customFormat="1" x14ac:dyDescent="0.25">
      <c r="A75" s="110">
        <f>IF(J75&lt;&gt;"",1+MAX($A$17:A74),"")</f>
        <v>39</v>
      </c>
      <c r="B75" s="104" t="s">
        <v>744</v>
      </c>
      <c r="C75" s="104" t="s">
        <v>745</v>
      </c>
      <c r="D75" s="102" t="s">
        <v>50</v>
      </c>
      <c r="E75" s="117" t="s">
        <v>168</v>
      </c>
      <c r="F75" s="240" t="s">
        <v>846</v>
      </c>
      <c r="G75" s="103">
        <f>2*17*27.48</f>
        <v>934.32</v>
      </c>
      <c r="H75" s="51">
        <f>IF(VLOOKUP(J75,'HOURLY RATES'!B$116:C$124,2,0)=0,$J$3,VLOOKUP(J75,'HOURLY RATES'!B$116:C$124,2,0))</f>
        <v>0.05</v>
      </c>
      <c r="I75" s="52">
        <f t="shared" si="26"/>
        <v>981.03600000000006</v>
      </c>
      <c r="J75" s="101" t="s">
        <v>253</v>
      </c>
      <c r="K75" s="150">
        <v>4.3200000000000002E-2</v>
      </c>
      <c r="L75" s="151">
        <f t="shared" si="32"/>
        <v>42.380755200000003</v>
      </c>
      <c r="M75" s="57">
        <f>IF(VLOOKUP(E75,'HOURLY RATES'!C$6:D$105,2,0)=0,$E$3,VLOOKUP(E75,'HOURLY RATES'!C$6:D$105,2,0))</f>
        <v>102</v>
      </c>
      <c r="N75" s="152">
        <f t="shared" si="33"/>
        <v>4322.8370304</v>
      </c>
      <c r="O75" s="107">
        <v>2.6</v>
      </c>
      <c r="P75" s="107">
        <f t="shared" si="28"/>
        <v>2550.6936000000001</v>
      </c>
      <c r="Q75" s="153">
        <f t="shared" si="29"/>
        <v>6873.5306304000005</v>
      </c>
      <c r="R75" s="116"/>
      <c r="S75" s="129">
        <f t="shared" si="30"/>
        <v>9.0656024199999976</v>
      </c>
      <c r="T75" s="130">
        <f t="shared" si="31"/>
        <v>8893.6823357071189</v>
      </c>
    </row>
    <row r="76" spans="1:20" s="7" customFormat="1" x14ac:dyDescent="0.25">
      <c r="A76" s="110">
        <f>IF(J76&lt;&gt;"",1+MAX($A$17:A75),"")</f>
        <v>40</v>
      </c>
      <c r="B76" s="104" t="s">
        <v>744</v>
      </c>
      <c r="C76" s="104" t="s">
        <v>745</v>
      </c>
      <c r="D76" s="102" t="s">
        <v>50</v>
      </c>
      <c r="E76" s="117" t="s">
        <v>168</v>
      </c>
      <c r="F76" s="240" t="s">
        <v>847</v>
      </c>
      <c r="G76" s="103">
        <f>7*18*27.48</f>
        <v>3462.48</v>
      </c>
      <c r="H76" s="51">
        <f>IF(VLOOKUP(J76,'HOURLY RATES'!B$116:C$124,2,0)=0,$J$3,VLOOKUP(J76,'HOURLY RATES'!B$116:C$124,2,0))</f>
        <v>0.05</v>
      </c>
      <c r="I76" s="52">
        <f t="shared" si="26"/>
        <v>3635.6040000000003</v>
      </c>
      <c r="J76" s="101" t="s">
        <v>253</v>
      </c>
      <c r="K76" s="150">
        <v>4.3200000000000002E-2</v>
      </c>
      <c r="L76" s="151">
        <f t="shared" si="32"/>
        <v>157.05809280000003</v>
      </c>
      <c r="M76" s="57">
        <f>IF(VLOOKUP(E76,'HOURLY RATES'!C$6:D$105,2,0)=0,$E$3,VLOOKUP(E76,'HOURLY RATES'!C$6:D$105,2,0))</f>
        <v>102</v>
      </c>
      <c r="N76" s="152">
        <f t="shared" si="33"/>
        <v>16019.925465600003</v>
      </c>
      <c r="O76" s="107">
        <v>2.6</v>
      </c>
      <c r="P76" s="107">
        <f t="shared" si="28"/>
        <v>9452.5704000000005</v>
      </c>
      <c r="Q76" s="153">
        <f t="shared" si="29"/>
        <v>25472.495865600002</v>
      </c>
      <c r="R76" s="116"/>
      <c r="S76" s="129">
        <f t="shared" si="30"/>
        <v>9.0656024199999994</v>
      </c>
      <c r="T76" s="130">
        <f t="shared" si="31"/>
        <v>32958.940420561681</v>
      </c>
    </row>
    <row r="77" spans="1:20" s="7" customFormat="1" x14ac:dyDescent="0.25">
      <c r="A77" s="110">
        <f>IF(J77&lt;&gt;"",1+MAX($A$17:A76),"")</f>
        <v>41</v>
      </c>
      <c r="B77" s="104" t="s">
        <v>744</v>
      </c>
      <c r="C77" s="104" t="s">
        <v>745</v>
      </c>
      <c r="D77" s="102" t="s">
        <v>50</v>
      </c>
      <c r="E77" s="117" t="s">
        <v>168</v>
      </c>
      <c r="F77" s="240" t="s">
        <v>848</v>
      </c>
      <c r="G77" s="103">
        <f>1*14*42.3</f>
        <v>592.19999999999993</v>
      </c>
      <c r="H77" s="51">
        <f>IF(VLOOKUP(J77,'HOURLY RATES'!B$116:C$124,2,0)=0,$J$3,VLOOKUP(J77,'HOURLY RATES'!B$116:C$124,2,0))</f>
        <v>0.05</v>
      </c>
      <c r="I77" s="52">
        <f t="shared" si="26"/>
        <v>621.80999999999995</v>
      </c>
      <c r="J77" s="101" t="s">
        <v>253</v>
      </c>
      <c r="K77" s="150">
        <v>4.3200000000000002E-2</v>
      </c>
      <c r="L77" s="151">
        <f t="shared" si="32"/>
        <v>26.862192</v>
      </c>
      <c r="M77" s="57">
        <f>IF(VLOOKUP(E77,'HOURLY RATES'!C$6:D$105,2,0)=0,$E$3,VLOOKUP(E77,'HOURLY RATES'!C$6:D$105,2,0))</f>
        <v>102</v>
      </c>
      <c r="N77" s="152">
        <f t="shared" si="33"/>
        <v>2739.9435840000001</v>
      </c>
      <c r="O77" s="107">
        <v>2.6</v>
      </c>
      <c r="P77" s="107">
        <f t="shared" si="28"/>
        <v>1616.7059999999999</v>
      </c>
      <c r="Q77" s="153">
        <f t="shared" si="29"/>
        <v>4356.6495839999998</v>
      </c>
      <c r="R77" s="116"/>
      <c r="S77" s="129">
        <f t="shared" si="30"/>
        <v>9.0656024200000012</v>
      </c>
      <c r="T77" s="130">
        <f t="shared" si="31"/>
        <v>5637.0822407802007</v>
      </c>
    </row>
    <row r="78" spans="1:20" s="7" customFormat="1" x14ac:dyDescent="0.25">
      <c r="A78" s="110">
        <f>IF(J78&lt;&gt;"",1+MAX($A$17:A77),"")</f>
        <v>42</v>
      </c>
      <c r="B78" s="104" t="s">
        <v>744</v>
      </c>
      <c r="C78" s="104" t="s">
        <v>745</v>
      </c>
      <c r="D78" s="102" t="s">
        <v>50</v>
      </c>
      <c r="E78" s="117" t="s">
        <v>168</v>
      </c>
      <c r="F78" s="240" t="s">
        <v>849</v>
      </c>
      <c r="G78" s="103">
        <f>3*15*42.3</f>
        <v>1903.4999999999998</v>
      </c>
      <c r="H78" s="51">
        <f>IF(VLOOKUP(J78,'HOURLY RATES'!B$116:C$124,2,0)=0,$J$3,VLOOKUP(J78,'HOURLY RATES'!B$116:C$124,2,0))</f>
        <v>0.05</v>
      </c>
      <c r="I78" s="52">
        <f t="shared" si="26"/>
        <v>1998.675</v>
      </c>
      <c r="J78" s="101" t="s">
        <v>253</v>
      </c>
      <c r="K78" s="150">
        <v>4.3200000000000002E-2</v>
      </c>
      <c r="L78" s="151">
        <f t="shared" si="32"/>
        <v>86.342759999999998</v>
      </c>
      <c r="M78" s="57">
        <f>IF(VLOOKUP(E78,'HOURLY RATES'!C$6:D$105,2,0)=0,$E$3,VLOOKUP(E78,'HOURLY RATES'!C$6:D$105,2,0))</f>
        <v>102</v>
      </c>
      <c r="N78" s="152">
        <f t="shared" si="33"/>
        <v>8806.9615200000007</v>
      </c>
      <c r="O78" s="107">
        <v>2.6</v>
      </c>
      <c r="P78" s="107">
        <f t="shared" si="28"/>
        <v>5196.5550000000003</v>
      </c>
      <c r="Q78" s="153">
        <f t="shared" si="29"/>
        <v>14003.516520000001</v>
      </c>
      <c r="R78" s="116"/>
      <c r="S78" s="129">
        <f t="shared" si="30"/>
        <v>9.0656024200000012</v>
      </c>
      <c r="T78" s="130">
        <f t="shared" si="31"/>
        <v>18119.192916793501</v>
      </c>
    </row>
    <row r="79" spans="1:20" s="7" customFormat="1" x14ac:dyDescent="0.25">
      <c r="A79" s="110">
        <f>IF(J79&lt;&gt;"",1+MAX($A$17:A78),"")</f>
        <v>43</v>
      </c>
      <c r="B79" s="104" t="s">
        <v>744</v>
      </c>
      <c r="C79" s="104" t="s">
        <v>745</v>
      </c>
      <c r="D79" s="102" t="s">
        <v>50</v>
      </c>
      <c r="E79" s="117" t="s">
        <v>168</v>
      </c>
      <c r="F79" s="240" t="s">
        <v>850</v>
      </c>
      <c r="G79" s="103">
        <f>1*2*23.34</f>
        <v>46.68</v>
      </c>
      <c r="H79" s="51">
        <f>IF(VLOOKUP(J79,'HOURLY RATES'!B$116:C$124,2,0)=0,$J$3,VLOOKUP(J79,'HOURLY RATES'!B$116:C$124,2,0))</f>
        <v>0.05</v>
      </c>
      <c r="I79" s="52">
        <f t="shared" si="26"/>
        <v>49.014000000000003</v>
      </c>
      <c r="J79" s="101" t="s">
        <v>253</v>
      </c>
      <c r="K79" s="150">
        <v>4.3200000000000002E-2</v>
      </c>
      <c r="L79" s="151">
        <f t="shared" si="32"/>
        <v>2.1174048000000001</v>
      </c>
      <c r="M79" s="57">
        <f>IF(VLOOKUP(E79,'HOURLY RATES'!C$6:D$105,2,0)=0,$E$3,VLOOKUP(E79,'HOURLY RATES'!C$6:D$105,2,0))</f>
        <v>102</v>
      </c>
      <c r="N79" s="152">
        <f t="shared" si="33"/>
        <v>215.9752896</v>
      </c>
      <c r="O79" s="107">
        <v>2.6</v>
      </c>
      <c r="P79" s="107">
        <f t="shared" si="28"/>
        <v>127.43640000000001</v>
      </c>
      <c r="Q79" s="153">
        <f t="shared" si="29"/>
        <v>343.41168959999999</v>
      </c>
      <c r="R79" s="116"/>
      <c r="S79" s="129">
        <f t="shared" si="30"/>
        <v>9.0656024199999994</v>
      </c>
      <c r="T79" s="130">
        <f t="shared" si="31"/>
        <v>444.34143701388001</v>
      </c>
    </row>
    <row r="80" spans="1:20" s="7" customFormat="1" x14ac:dyDescent="0.25">
      <c r="A80" s="110">
        <f>IF(J80&lt;&gt;"",1+MAX($A$17:A79),"")</f>
        <v>44</v>
      </c>
      <c r="B80" s="104" t="s">
        <v>744</v>
      </c>
      <c r="C80" s="104" t="s">
        <v>745</v>
      </c>
      <c r="D80" s="102" t="s">
        <v>50</v>
      </c>
      <c r="E80" s="117" t="s">
        <v>168</v>
      </c>
      <c r="F80" s="240" t="s">
        <v>851</v>
      </c>
      <c r="G80" s="103">
        <f>2*3*23.34</f>
        <v>140.04</v>
      </c>
      <c r="H80" s="51">
        <f>IF(VLOOKUP(J80,'HOURLY RATES'!B$116:C$124,2,0)=0,$J$3,VLOOKUP(J80,'HOURLY RATES'!B$116:C$124,2,0))</f>
        <v>0.05</v>
      </c>
      <c r="I80" s="52">
        <f t="shared" si="26"/>
        <v>147.042</v>
      </c>
      <c r="J80" s="101" t="s">
        <v>253</v>
      </c>
      <c r="K80" s="150">
        <v>4.3200000000000002E-2</v>
      </c>
      <c r="L80" s="151">
        <f t="shared" si="32"/>
        <v>6.3522144000000003</v>
      </c>
      <c r="M80" s="57">
        <f>IF(VLOOKUP(E80,'HOURLY RATES'!C$6:D$105,2,0)=0,$E$3,VLOOKUP(E80,'HOURLY RATES'!C$6:D$105,2,0))</f>
        <v>102</v>
      </c>
      <c r="N80" s="152">
        <f t="shared" si="33"/>
        <v>647.92586879999999</v>
      </c>
      <c r="O80" s="107">
        <v>2.6</v>
      </c>
      <c r="P80" s="107">
        <f t="shared" si="28"/>
        <v>382.30920000000003</v>
      </c>
      <c r="Q80" s="153">
        <f t="shared" si="29"/>
        <v>1030.2350688000001</v>
      </c>
      <c r="R80" s="116"/>
      <c r="S80" s="129">
        <f t="shared" si="30"/>
        <v>9.0656024199999976</v>
      </c>
      <c r="T80" s="130">
        <f t="shared" si="31"/>
        <v>1333.0243110416397</v>
      </c>
    </row>
    <row r="81" spans="1:20" s="7" customFormat="1" x14ac:dyDescent="0.25">
      <c r="A81" s="110">
        <f>IF(J81&lt;&gt;"",1+MAX($A$17:A80),"")</f>
        <v>45</v>
      </c>
      <c r="B81" s="104" t="s">
        <v>744</v>
      </c>
      <c r="C81" s="104" t="s">
        <v>745</v>
      </c>
      <c r="D81" s="102" t="s">
        <v>50</v>
      </c>
      <c r="E81" s="117" t="s">
        <v>168</v>
      </c>
      <c r="F81" s="240" t="s">
        <v>852</v>
      </c>
      <c r="G81" s="103">
        <f>3*14*23.34</f>
        <v>980.28</v>
      </c>
      <c r="H81" s="51">
        <f>IF(VLOOKUP(J81,'HOURLY RATES'!B$116:C$124,2,0)=0,$J$3,VLOOKUP(J81,'HOURLY RATES'!B$116:C$124,2,0))</f>
        <v>0.05</v>
      </c>
      <c r="I81" s="52">
        <f t="shared" si="26"/>
        <v>1029.2940000000001</v>
      </c>
      <c r="J81" s="101" t="s">
        <v>253</v>
      </c>
      <c r="K81" s="150">
        <v>4.3200000000000002E-2</v>
      </c>
      <c r="L81" s="151">
        <f t="shared" si="32"/>
        <v>44.465500800000008</v>
      </c>
      <c r="M81" s="57">
        <f>IF(VLOOKUP(E81,'HOURLY RATES'!C$6:D$105,2,0)=0,$E$3,VLOOKUP(E81,'HOURLY RATES'!C$6:D$105,2,0))</f>
        <v>102</v>
      </c>
      <c r="N81" s="152">
        <f t="shared" si="33"/>
        <v>4535.4810816000008</v>
      </c>
      <c r="O81" s="107">
        <v>2.6</v>
      </c>
      <c r="P81" s="107">
        <f t="shared" si="28"/>
        <v>2676.1644000000006</v>
      </c>
      <c r="Q81" s="153">
        <f t="shared" si="29"/>
        <v>7211.6454816000014</v>
      </c>
      <c r="R81" s="116"/>
      <c r="S81" s="129">
        <f t="shared" si="30"/>
        <v>9.0656024200000012</v>
      </c>
      <c r="T81" s="130">
        <f t="shared" si="31"/>
        <v>9331.1701772914821</v>
      </c>
    </row>
    <row r="82" spans="1:20" s="7" customFormat="1" x14ac:dyDescent="0.25">
      <c r="A82" s="110">
        <f>IF(J82&lt;&gt;"",1+MAX($A$17:A81),"")</f>
        <v>46</v>
      </c>
      <c r="B82" s="104" t="s">
        <v>744</v>
      </c>
      <c r="C82" s="104" t="s">
        <v>745</v>
      </c>
      <c r="D82" s="102" t="s">
        <v>50</v>
      </c>
      <c r="E82" s="117" t="s">
        <v>168</v>
      </c>
      <c r="F82" s="240" t="s">
        <v>853</v>
      </c>
      <c r="G82" s="103">
        <f>4*15*23.34</f>
        <v>1400.4</v>
      </c>
      <c r="H82" s="51">
        <f>IF(VLOOKUP(J82,'HOURLY RATES'!B$116:C$124,2,0)=0,$J$3,VLOOKUP(J82,'HOURLY RATES'!B$116:C$124,2,0))</f>
        <v>0.05</v>
      </c>
      <c r="I82" s="52">
        <f t="shared" si="26"/>
        <v>1470.42</v>
      </c>
      <c r="J82" s="101" t="s">
        <v>253</v>
      </c>
      <c r="K82" s="150">
        <v>4.3200000000000002E-2</v>
      </c>
      <c r="L82" s="151">
        <f t="shared" si="32"/>
        <v>63.522144000000004</v>
      </c>
      <c r="M82" s="57">
        <f>IF(VLOOKUP(E82,'HOURLY RATES'!C$6:D$105,2,0)=0,$E$3,VLOOKUP(E82,'HOURLY RATES'!C$6:D$105,2,0))</f>
        <v>102</v>
      </c>
      <c r="N82" s="152">
        <f t="shared" si="33"/>
        <v>6479.2586880000008</v>
      </c>
      <c r="O82" s="107">
        <v>2.6</v>
      </c>
      <c r="P82" s="107">
        <f t="shared" si="28"/>
        <v>3823.0920000000001</v>
      </c>
      <c r="Q82" s="153">
        <f t="shared" si="29"/>
        <v>10302.350688</v>
      </c>
      <c r="R82" s="116"/>
      <c r="S82" s="129">
        <f t="shared" si="30"/>
        <v>9.0656024199999994</v>
      </c>
      <c r="T82" s="130">
        <f t="shared" si="31"/>
        <v>13330.243110416399</v>
      </c>
    </row>
    <row r="83" spans="1:20" s="7" customFormat="1" x14ac:dyDescent="0.25">
      <c r="A83" s="110">
        <f>IF(J83&lt;&gt;"",1+MAX($A$17:A82),"")</f>
        <v>47</v>
      </c>
      <c r="B83" s="104" t="s">
        <v>744</v>
      </c>
      <c r="C83" s="104" t="s">
        <v>745</v>
      </c>
      <c r="D83" s="102" t="s">
        <v>50</v>
      </c>
      <c r="E83" s="117" t="s">
        <v>168</v>
      </c>
      <c r="F83" s="240" t="s">
        <v>854</v>
      </c>
      <c r="G83" s="103">
        <f>25*18*23.34</f>
        <v>10503</v>
      </c>
      <c r="H83" s="51">
        <f>IF(VLOOKUP(J83,'HOURLY RATES'!B$116:C$124,2,0)=0,$J$3,VLOOKUP(J83,'HOURLY RATES'!B$116:C$124,2,0))</f>
        <v>0.05</v>
      </c>
      <c r="I83" s="52">
        <f t="shared" si="26"/>
        <v>11028.15</v>
      </c>
      <c r="J83" s="101" t="s">
        <v>253</v>
      </c>
      <c r="K83" s="150">
        <v>4.3200000000000002E-2</v>
      </c>
      <c r="L83" s="151">
        <f t="shared" si="32"/>
        <v>476.41608000000002</v>
      </c>
      <c r="M83" s="57">
        <f>IF(VLOOKUP(E83,'HOURLY RATES'!C$6:D$105,2,0)=0,$E$3,VLOOKUP(E83,'HOURLY RATES'!C$6:D$105,2,0))</f>
        <v>102</v>
      </c>
      <c r="N83" s="152">
        <f t="shared" si="33"/>
        <v>48594.440160000006</v>
      </c>
      <c r="O83" s="107">
        <v>2.6</v>
      </c>
      <c r="P83" s="107">
        <f t="shared" si="28"/>
        <v>28673.19</v>
      </c>
      <c r="Q83" s="153">
        <f t="shared" si="29"/>
        <v>77267.630160000001</v>
      </c>
      <c r="R83" s="116"/>
      <c r="S83" s="129">
        <f t="shared" si="30"/>
        <v>9.0656024200000012</v>
      </c>
      <c r="T83" s="130">
        <f t="shared" si="31"/>
        <v>99976.823328123006</v>
      </c>
    </row>
    <row r="84" spans="1:20" s="7" customFormat="1" x14ac:dyDescent="0.25">
      <c r="A84" s="110">
        <f>IF(J84&lt;&gt;"",1+MAX($A$17:A83),"")</f>
        <v>48</v>
      </c>
      <c r="B84" s="104" t="s">
        <v>744</v>
      </c>
      <c r="C84" s="104" t="s">
        <v>745</v>
      </c>
      <c r="D84" s="102" t="s">
        <v>50</v>
      </c>
      <c r="E84" s="117" t="s">
        <v>168</v>
      </c>
      <c r="F84" s="240" t="s">
        <v>855</v>
      </c>
      <c r="G84" s="103">
        <f>1*24*23.34</f>
        <v>560.16</v>
      </c>
      <c r="H84" s="51">
        <f>IF(VLOOKUP(J84,'HOURLY RATES'!B$116:C$124,2,0)=0,$J$3,VLOOKUP(J84,'HOURLY RATES'!B$116:C$124,2,0))</f>
        <v>0.05</v>
      </c>
      <c r="I84" s="52">
        <f t="shared" si="26"/>
        <v>588.16800000000001</v>
      </c>
      <c r="J84" s="101" t="s">
        <v>253</v>
      </c>
      <c r="K84" s="150">
        <v>4.3200000000000002E-2</v>
      </c>
      <c r="L84" s="151">
        <f t="shared" si="32"/>
        <v>25.408857600000001</v>
      </c>
      <c r="M84" s="57">
        <f>IF(VLOOKUP(E84,'HOURLY RATES'!C$6:D$105,2,0)=0,$E$3,VLOOKUP(E84,'HOURLY RATES'!C$6:D$105,2,0))</f>
        <v>102</v>
      </c>
      <c r="N84" s="152">
        <f t="shared" si="33"/>
        <v>2591.7034752</v>
      </c>
      <c r="O84" s="107">
        <v>2.6</v>
      </c>
      <c r="P84" s="107">
        <f t="shared" si="28"/>
        <v>1529.2368000000001</v>
      </c>
      <c r="Q84" s="153">
        <f t="shared" si="29"/>
        <v>4120.9402752000005</v>
      </c>
      <c r="R84" s="116"/>
      <c r="S84" s="129">
        <f t="shared" si="30"/>
        <v>9.0656024199999976</v>
      </c>
      <c r="T84" s="130">
        <f t="shared" si="31"/>
        <v>5332.097244166559</v>
      </c>
    </row>
    <row r="85" spans="1:20" s="7" customFormat="1" x14ac:dyDescent="0.25">
      <c r="A85" s="110">
        <f>IF(J85&lt;&gt;"",1+MAX($A$17:A84),"")</f>
        <v>49</v>
      </c>
      <c r="B85" s="104" t="s">
        <v>744</v>
      </c>
      <c r="C85" s="104" t="s">
        <v>745</v>
      </c>
      <c r="D85" s="102" t="s">
        <v>50</v>
      </c>
      <c r="E85" s="117" t="s">
        <v>168</v>
      </c>
      <c r="F85" s="240" t="s">
        <v>856</v>
      </c>
      <c r="G85" s="103">
        <f>1*51*23.34</f>
        <v>1190.3399999999999</v>
      </c>
      <c r="H85" s="51">
        <f>IF(VLOOKUP(J85,'HOURLY RATES'!B$116:C$124,2,0)=0,$J$3,VLOOKUP(J85,'HOURLY RATES'!B$116:C$124,2,0))</f>
        <v>0.05</v>
      </c>
      <c r="I85" s="52">
        <f t="shared" si="26"/>
        <v>1249.857</v>
      </c>
      <c r="J85" s="101" t="s">
        <v>253</v>
      </c>
      <c r="K85" s="150">
        <v>4.3200000000000002E-2</v>
      </c>
      <c r="L85" s="151">
        <f t="shared" si="32"/>
        <v>53.993822399999999</v>
      </c>
      <c r="M85" s="57">
        <f>IF(VLOOKUP(E85,'HOURLY RATES'!C$6:D$105,2,0)=0,$E$3,VLOOKUP(E85,'HOURLY RATES'!C$6:D$105,2,0))</f>
        <v>102</v>
      </c>
      <c r="N85" s="152">
        <f t="shared" si="33"/>
        <v>5507.3698848000004</v>
      </c>
      <c r="O85" s="107">
        <v>2.6</v>
      </c>
      <c r="P85" s="107">
        <f t="shared" si="28"/>
        <v>3249.6282000000001</v>
      </c>
      <c r="Q85" s="153">
        <f t="shared" si="29"/>
        <v>8756.9980848000014</v>
      </c>
      <c r="R85" s="116"/>
      <c r="S85" s="129">
        <f t="shared" ref="S85:S146" si="34">((((N85*(1+$D$7))+(P85*(1+$D$5+$D$6)))*(1+$D$8)))/I85</f>
        <v>9.0656024199999994</v>
      </c>
      <c r="T85" s="130">
        <f t="shared" ref="T85:T146" si="35">S85*I85</f>
        <v>11330.706643853939</v>
      </c>
    </row>
    <row r="86" spans="1:20" s="7" customFormat="1" x14ac:dyDescent="0.25">
      <c r="A86" s="110">
        <f>IF(J86&lt;&gt;"",1+MAX($A$17:A85),"")</f>
        <v>50</v>
      </c>
      <c r="B86" s="104" t="s">
        <v>744</v>
      </c>
      <c r="C86" s="104" t="s">
        <v>745</v>
      </c>
      <c r="D86" s="102" t="s">
        <v>50</v>
      </c>
      <c r="E86" s="117" t="s">
        <v>168</v>
      </c>
      <c r="F86" s="240" t="s">
        <v>857</v>
      </c>
      <c r="G86" s="103">
        <f>5*7*37.69</f>
        <v>1319.1499999999999</v>
      </c>
      <c r="H86" s="51">
        <f>IF(VLOOKUP(J86,'HOURLY RATES'!B$116:C$124,2,0)=0,$J$3,VLOOKUP(J86,'HOURLY RATES'!B$116:C$124,2,0))</f>
        <v>0.05</v>
      </c>
      <c r="I86" s="52">
        <f t="shared" si="26"/>
        <v>1385.1074999999998</v>
      </c>
      <c r="J86" s="101" t="s">
        <v>253</v>
      </c>
      <c r="K86" s="150">
        <v>4.3200000000000002E-2</v>
      </c>
      <c r="L86" s="151">
        <f t="shared" si="32"/>
        <v>59.836644</v>
      </c>
      <c r="M86" s="57">
        <f>IF(VLOOKUP(E86,'HOURLY RATES'!C$6:D$105,2,0)=0,$E$3,VLOOKUP(E86,'HOURLY RATES'!C$6:D$105,2,0))</f>
        <v>102</v>
      </c>
      <c r="N86" s="152">
        <f t="shared" si="33"/>
        <v>6103.3376879999996</v>
      </c>
      <c r="O86" s="107">
        <v>2.6</v>
      </c>
      <c r="P86" s="107">
        <f t="shared" si="28"/>
        <v>3601.2794999999996</v>
      </c>
      <c r="Q86" s="153">
        <f t="shared" si="29"/>
        <v>9704.6171880000002</v>
      </c>
      <c r="R86" s="116"/>
      <c r="S86" s="129">
        <f t="shared" si="34"/>
        <v>9.0656024199999994</v>
      </c>
      <c r="T86" s="130">
        <f t="shared" si="35"/>
        <v>12556.833903960147</v>
      </c>
    </row>
    <row r="87" spans="1:20" s="7" customFormat="1" x14ac:dyDescent="0.25">
      <c r="A87" s="110">
        <f>IF(J87&lt;&gt;"",1+MAX($A$17:A86),"")</f>
        <v>51</v>
      </c>
      <c r="B87" s="104" t="s">
        <v>744</v>
      </c>
      <c r="C87" s="104" t="s">
        <v>745</v>
      </c>
      <c r="D87" s="102" t="s">
        <v>50</v>
      </c>
      <c r="E87" s="117" t="s">
        <v>168</v>
      </c>
      <c r="F87" s="240" t="s">
        <v>858</v>
      </c>
      <c r="G87" s="103">
        <f>9*18*37.69</f>
        <v>6105.78</v>
      </c>
      <c r="H87" s="51">
        <f>IF(VLOOKUP(J87,'HOURLY RATES'!B$116:C$124,2,0)=0,$J$3,VLOOKUP(J87,'HOURLY RATES'!B$116:C$124,2,0))</f>
        <v>0.05</v>
      </c>
      <c r="I87" s="52">
        <f t="shared" si="26"/>
        <v>6411.0690000000004</v>
      </c>
      <c r="J87" s="101" t="s">
        <v>253</v>
      </c>
      <c r="K87" s="150">
        <v>4.3200000000000002E-2</v>
      </c>
      <c r="L87" s="151">
        <f t="shared" si="32"/>
        <v>276.95818080000004</v>
      </c>
      <c r="M87" s="57">
        <f>IF(VLOOKUP(E87,'HOURLY RATES'!C$6:D$105,2,0)=0,$E$3,VLOOKUP(E87,'HOURLY RATES'!C$6:D$105,2,0))</f>
        <v>102</v>
      </c>
      <c r="N87" s="152">
        <f t="shared" si="33"/>
        <v>28249.734441600005</v>
      </c>
      <c r="O87" s="107">
        <v>2.6</v>
      </c>
      <c r="P87" s="107">
        <f t="shared" si="28"/>
        <v>16668.779400000003</v>
      </c>
      <c r="Q87" s="153">
        <f t="shared" si="29"/>
        <v>44918.513841600012</v>
      </c>
      <c r="R87" s="116"/>
      <c r="S87" s="129">
        <f t="shared" si="34"/>
        <v>9.0656024200000012</v>
      </c>
      <c r="T87" s="130">
        <f t="shared" si="35"/>
        <v>58120.202641186988</v>
      </c>
    </row>
    <row r="88" spans="1:20" s="7" customFormat="1" x14ac:dyDescent="0.25">
      <c r="A88" s="110">
        <f>IF(J88&lt;&gt;"",1+MAX($A$17:A87),"")</f>
        <v>52</v>
      </c>
      <c r="B88" s="104" t="s">
        <v>744</v>
      </c>
      <c r="C88" s="104" t="s">
        <v>745</v>
      </c>
      <c r="D88" s="102" t="s">
        <v>50</v>
      </c>
      <c r="E88" s="117" t="s">
        <v>168</v>
      </c>
      <c r="F88" s="240" t="s">
        <v>859</v>
      </c>
      <c r="G88" s="103">
        <f>1*19*37.69</f>
        <v>716.1099999999999</v>
      </c>
      <c r="H88" s="51">
        <f>IF(VLOOKUP(J88,'HOURLY RATES'!B$116:C$124,2,0)=0,$J$3,VLOOKUP(J88,'HOURLY RATES'!B$116:C$124,2,0))</f>
        <v>0.05</v>
      </c>
      <c r="I88" s="52">
        <f t="shared" si="26"/>
        <v>751.91549999999995</v>
      </c>
      <c r="J88" s="101" t="s">
        <v>253</v>
      </c>
      <c r="K88" s="150">
        <v>4.3200000000000002E-2</v>
      </c>
      <c r="L88" s="151">
        <f t="shared" si="32"/>
        <v>32.482749599999998</v>
      </c>
      <c r="M88" s="57">
        <f>IF(VLOOKUP(E88,'HOURLY RATES'!C$6:D$105,2,0)=0,$E$3,VLOOKUP(E88,'HOURLY RATES'!C$6:D$105,2,0))</f>
        <v>102</v>
      </c>
      <c r="N88" s="152">
        <f t="shared" si="33"/>
        <v>3313.2404591999998</v>
      </c>
      <c r="O88" s="107">
        <v>2.6</v>
      </c>
      <c r="P88" s="107">
        <f t="shared" si="28"/>
        <v>1954.9802999999999</v>
      </c>
      <c r="Q88" s="153">
        <f t="shared" si="29"/>
        <v>5268.2207591999995</v>
      </c>
      <c r="R88" s="116"/>
      <c r="S88" s="129">
        <f t="shared" si="34"/>
        <v>9.0656024200000012</v>
      </c>
      <c r="T88" s="130">
        <f t="shared" si="35"/>
        <v>6816.5669764355107</v>
      </c>
    </row>
    <row r="89" spans="1:20" s="7" customFormat="1" x14ac:dyDescent="0.25">
      <c r="A89" s="110">
        <f>IF(J89&lt;&gt;"",1+MAX($A$17:A88),"")</f>
        <v>53</v>
      </c>
      <c r="B89" s="104" t="s">
        <v>744</v>
      </c>
      <c r="C89" s="104" t="s">
        <v>745</v>
      </c>
      <c r="D89" s="102" t="s">
        <v>50</v>
      </c>
      <c r="E89" s="117" t="s">
        <v>168</v>
      </c>
      <c r="F89" s="240" t="s">
        <v>860</v>
      </c>
      <c r="G89" s="103">
        <f>3*21*37.69</f>
        <v>2374.4699999999998</v>
      </c>
      <c r="H89" s="51">
        <f>IF(VLOOKUP(J89,'HOURLY RATES'!B$116:C$124,2,0)=0,$J$3,VLOOKUP(J89,'HOURLY RATES'!B$116:C$124,2,0))</f>
        <v>0.05</v>
      </c>
      <c r="I89" s="52">
        <f t="shared" si="26"/>
        <v>2493.1934999999999</v>
      </c>
      <c r="J89" s="101" t="s">
        <v>253</v>
      </c>
      <c r="K89" s="150">
        <v>4.3200000000000002E-2</v>
      </c>
      <c r="L89" s="151">
        <f t="shared" si="32"/>
        <v>107.7059592</v>
      </c>
      <c r="M89" s="57">
        <f>IF(VLOOKUP(E89,'HOURLY RATES'!C$6:D$105,2,0)=0,$E$3,VLOOKUP(E89,'HOURLY RATES'!C$6:D$105,2,0))</f>
        <v>102</v>
      </c>
      <c r="N89" s="152">
        <f t="shared" si="33"/>
        <v>10986.007838399999</v>
      </c>
      <c r="O89" s="107">
        <v>2.6</v>
      </c>
      <c r="P89" s="107">
        <f t="shared" si="28"/>
        <v>6482.3031000000001</v>
      </c>
      <c r="Q89" s="153">
        <f t="shared" si="29"/>
        <v>17468.310938399998</v>
      </c>
      <c r="R89" s="116"/>
      <c r="S89" s="129">
        <f t="shared" si="34"/>
        <v>9.0656024199999994</v>
      </c>
      <c r="T89" s="130">
        <f t="shared" si="35"/>
        <v>22602.301027128266</v>
      </c>
    </row>
    <row r="90" spans="1:20" s="7" customFormat="1" x14ac:dyDescent="0.25">
      <c r="A90" s="110">
        <f>IF(J90&lt;&gt;"",1+MAX($A$17:A89),"")</f>
        <v>54</v>
      </c>
      <c r="B90" s="104" t="s">
        <v>744</v>
      </c>
      <c r="C90" s="104" t="s">
        <v>745</v>
      </c>
      <c r="D90" s="102" t="s">
        <v>50</v>
      </c>
      <c r="E90" s="117" t="s">
        <v>168</v>
      </c>
      <c r="F90" s="240" t="s">
        <v>861</v>
      </c>
      <c r="G90" s="103">
        <f>1*25*37.69</f>
        <v>942.25</v>
      </c>
      <c r="H90" s="51">
        <f>IF(VLOOKUP(J90,'HOURLY RATES'!B$116:C$124,2,0)=0,$J$3,VLOOKUP(J90,'HOURLY RATES'!B$116:C$124,2,0))</f>
        <v>0.05</v>
      </c>
      <c r="I90" s="52">
        <f t="shared" si="26"/>
        <v>989.36250000000007</v>
      </c>
      <c r="J90" s="101" t="s">
        <v>253</v>
      </c>
      <c r="K90" s="150">
        <v>4.3200000000000002E-2</v>
      </c>
      <c r="L90" s="151">
        <f t="shared" si="32"/>
        <v>42.740460000000006</v>
      </c>
      <c r="M90" s="57">
        <f>IF(VLOOKUP(E90,'HOURLY RATES'!C$6:D$105,2,0)=0,$E$3,VLOOKUP(E90,'HOURLY RATES'!C$6:D$105,2,0))</f>
        <v>102</v>
      </c>
      <c r="N90" s="152">
        <f t="shared" si="33"/>
        <v>4359.5269200000002</v>
      </c>
      <c r="O90" s="107">
        <v>2.6</v>
      </c>
      <c r="P90" s="107">
        <f t="shared" si="28"/>
        <v>2572.3425000000002</v>
      </c>
      <c r="Q90" s="153">
        <f t="shared" si="29"/>
        <v>6931.8694200000009</v>
      </c>
      <c r="R90" s="116"/>
      <c r="S90" s="129">
        <f t="shared" si="34"/>
        <v>9.0656024199999994</v>
      </c>
      <c r="T90" s="130">
        <f t="shared" si="35"/>
        <v>8969.1670742572496</v>
      </c>
    </row>
    <row r="91" spans="1:20" s="7" customFormat="1" x14ac:dyDescent="0.25">
      <c r="A91" s="110">
        <f>IF(J91&lt;&gt;"",1+MAX($A$17:A90),"")</f>
        <v>55</v>
      </c>
      <c r="B91" s="104" t="s">
        <v>744</v>
      </c>
      <c r="C91" s="104" t="s">
        <v>745</v>
      </c>
      <c r="D91" s="102" t="s">
        <v>50</v>
      </c>
      <c r="E91" s="117" t="s">
        <v>168</v>
      </c>
      <c r="F91" s="240" t="s">
        <v>862</v>
      </c>
      <c r="G91" s="103">
        <f>1*32*37.69</f>
        <v>1206.08</v>
      </c>
      <c r="H91" s="51">
        <f>IF(VLOOKUP(J91,'HOURLY RATES'!B$116:C$124,2,0)=0,$J$3,VLOOKUP(J91,'HOURLY RATES'!B$116:C$124,2,0))</f>
        <v>0.05</v>
      </c>
      <c r="I91" s="52">
        <f t="shared" si="26"/>
        <v>1266.384</v>
      </c>
      <c r="J91" s="101" t="s">
        <v>253</v>
      </c>
      <c r="K91" s="150">
        <v>4.3200000000000002E-2</v>
      </c>
      <c r="L91" s="151">
        <f t="shared" si="32"/>
        <v>54.707788800000003</v>
      </c>
      <c r="M91" s="57">
        <f>IF(VLOOKUP(E91,'HOURLY RATES'!C$6:D$105,2,0)=0,$E$3,VLOOKUP(E91,'HOURLY RATES'!C$6:D$105,2,0))</f>
        <v>102</v>
      </c>
      <c r="N91" s="152">
        <f t="shared" si="33"/>
        <v>5580.1944576000005</v>
      </c>
      <c r="O91" s="107">
        <v>2.6</v>
      </c>
      <c r="P91" s="107">
        <f t="shared" si="28"/>
        <v>3292.5984000000003</v>
      </c>
      <c r="Q91" s="153">
        <f t="shared" si="29"/>
        <v>8872.7928576000013</v>
      </c>
      <c r="R91" s="116"/>
      <c r="S91" s="129">
        <f t="shared" si="34"/>
        <v>9.0656024200000012</v>
      </c>
      <c r="T91" s="130">
        <f t="shared" si="35"/>
        <v>11480.533855049282</v>
      </c>
    </row>
    <row r="92" spans="1:20" s="7" customFormat="1" x14ac:dyDescent="0.25">
      <c r="A92" s="110">
        <f>IF(J92&lt;&gt;"",1+MAX($A$17:A91),"")</f>
        <v>56</v>
      </c>
      <c r="B92" s="104" t="s">
        <v>744</v>
      </c>
      <c r="C92" s="104" t="s">
        <v>745</v>
      </c>
      <c r="D92" s="102" t="s">
        <v>50</v>
      </c>
      <c r="E92" s="117" t="s">
        <v>168</v>
      </c>
      <c r="F92" s="240" t="s">
        <v>863</v>
      </c>
      <c r="G92" s="103">
        <f>3*32*37.69</f>
        <v>3618.24</v>
      </c>
      <c r="H92" s="51">
        <f>IF(VLOOKUP(J92,'HOURLY RATES'!B$116:C$124,2,0)=0,$J$3,VLOOKUP(J92,'HOURLY RATES'!B$116:C$124,2,0))</f>
        <v>0.05</v>
      </c>
      <c r="I92" s="52">
        <f t="shared" si="26"/>
        <v>3799.152</v>
      </c>
      <c r="J92" s="101" t="s">
        <v>253</v>
      </c>
      <c r="K92" s="150">
        <v>4.3200000000000002E-2</v>
      </c>
      <c r="L92" s="151">
        <f t="shared" si="32"/>
        <v>164.12336640000001</v>
      </c>
      <c r="M92" s="57">
        <f>IF(VLOOKUP(E92,'HOURLY RATES'!C$6:D$105,2,0)=0,$E$3,VLOOKUP(E92,'HOURLY RATES'!C$6:D$105,2,0))</f>
        <v>102</v>
      </c>
      <c r="N92" s="152">
        <f t="shared" si="33"/>
        <v>16740.5833728</v>
      </c>
      <c r="O92" s="107">
        <v>2.6</v>
      </c>
      <c r="P92" s="107">
        <f t="shared" si="28"/>
        <v>9877.7952000000005</v>
      </c>
      <c r="Q92" s="153">
        <f t="shared" si="29"/>
        <v>26618.3785728</v>
      </c>
      <c r="R92" s="116"/>
      <c r="S92" s="129">
        <f t="shared" si="34"/>
        <v>9.0656024199999994</v>
      </c>
      <c r="T92" s="130">
        <f t="shared" si="35"/>
        <v>34441.601565147837</v>
      </c>
    </row>
    <row r="93" spans="1:20" s="7" customFormat="1" x14ac:dyDescent="0.25">
      <c r="A93" s="110">
        <f>IF(J93&lt;&gt;"",1+MAX($A$17:A92),"")</f>
        <v>57</v>
      </c>
      <c r="B93" s="104" t="s">
        <v>744</v>
      </c>
      <c r="C93" s="104" t="s">
        <v>745</v>
      </c>
      <c r="D93" s="102" t="s">
        <v>50</v>
      </c>
      <c r="E93" s="117" t="s">
        <v>168</v>
      </c>
      <c r="F93" s="240" t="s">
        <v>864</v>
      </c>
      <c r="G93" s="103">
        <f>2*32*37.69</f>
        <v>2412.16</v>
      </c>
      <c r="H93" s="51">
        <f>IF(VLOOKUP(J93,'HOURLY RATES'!B$116:C$124,2,0)=0,$J$3,VLOOKUP(J93,'HOURLY RATES'!B$116:C$124,2,0))</f>
        <v>0.05</v>
      </c>
      <c r="I93" s="52">
        <f t="shared" si="26"/>
        <v>2532.768</v>
      </c>
      <c r="J93" s="101" t="s">
        <v>253</v>
      </c>
      <c r="K93" s="150">
        <v>4.3200000000000002E-2</v>
      </c>
      <c r="L93" s="151">
        <f t="shared" si="32"/>
        <v>109.41557760000001</v>
      </c>
      <c r="M93" s="57">
        <f>IF(VLOOKUP(E93,'HOURLY RATES'!C$6:D$105,2,0)=0,$E$3,VLOOKUP(E93,'HOURLY RATES'!C$6:D$105,2,0))</f>
        <v>102</v>
      </c>
      <c r="N93" s="152">
        <f t="shared" si="33"/>
        <v>11160.388915200001</v>
      </c>
      <c r="O93" s="107">
        <v>2.6</v>
      </c>
      <c r="P93" s="107">
        <f t="shared" si="28"/>
        <v>6585.1968000000006</v>
      </c>
      <c r="Q93" s="153">
        <f t="shared" si="29"/>
        <v>17745.585715200003</v>
      </c>
      <c r="R93" s="116"/>
      <c r="S93" s="129">
        <f t="shared" si="34"/>
        <v>9.0656024200000012</v>
      </c>
      <c r="T93" s="130">
        <f t="shared" si="35"/>
        <v>22961.067710098563</v>
      </c>
    </row>
    <row r="94" spans="1:20" s="7" customFormat="1" x14ac:dyDescent="0.25">
      <c r="A94" s="110">
        <f>IF(J94&lt;&gt;"",1+MAX($A$17:A93),"")</f>
        <v>58</v>
      </c>
      <c r="B94" s="104" t="s">
        <v>744</v>
      </c>
      <c r="C94" s="104" t="s">
        <v>745</v>
      </c>
      <c r="D94" s="102" t="s">
        <v>50</v>
      </c>
      <c r="E94" s="117" t="s">
        <v>168</v>
      </c>
      <c r="F94" s="240" t="s">
        <v>865</v>
      </c>
      <c r="G94" s="103">
        <f>1*32*59.32</f>
        <v>1898.24</v>
      </c>
      <c r="H94" s="51">
        <f>IF(VLOOKUP(J94,'HOURLY RATES'!B$116:C$124,2,0)=0,$J$3,VLOOKUP(J94,'HOURLY RATES'!B$116:C$124,2,0))</f>
        <v>0.05</v>
      </c>
      <c r="I94" s="52">
        <f t="shared" si="26"/>
        <v>1993.152</v>
      </c>
      <c r="J94" s="101" t="s">
        <v>253</v>
      </c>
      <c r="K94" s="150">
        <v>4.3200000000000002E-2</v>
      </c>
      <c r="L94" s="151">
        <f t="shared" si="32"/>
        <v>86.104166400000011</v>
      </c>
      <c r="M94" s="57">
        <f>IF(VLOOKUP(E94,'HOURLY RATES'!C$6:D$105,2,0)=0,$E$3,VLOOKUP(E94,'HOURLY RATES'!C$6:D$105,2,0))</f>
        <v>102</v>
      </c>
      <c r="N94" s="152">
        <f t="shared" si="33"/>
        <v>8782.6249728000003</v>
      </c>
      <c r="O94" s="107">
        <v>2.6</v>
      </c>
      <c r="P94" s="107">
        <f t="shared" si="28"/>
        <v>5182.1952000000001</v>
      </c>
      <c r="Q94" s="153">
        <f t="shared" si="29"/>
        <v>13964.8201728</v>
      </c>
      <c r="R94" s="116"/>
      <c r="S94" s="129">
        <f t="shared" si="34"/>
        <v>9.0656024199999994</v>
      </c>
      <c r="T94" s="130">
        <f t="shared" si="35"/>
        <v>18069.123594627839</v>
      </c>
    </row>
    <row r="95" spans="1:20" s="7" customFormat="1" x14ac:dyDescent="0.25">
      <c r="A95" s="110">
        <f>IF(J95&lt;&gt;"",1+MAX($A$17:A94),"")</f>
        <v>59</v>
      </c>
      <c r="B95" s="104" t="s">
        <v>744</v>
      </c>
      <c r="C95" s="104" t="s">
        <v>745</v>
      </c>
      <c r="D95" s="102" t="s">
        <v>50</v>
      </c>
      <c r="E95" s="117" t="s">
        <v>168</v>
      </c>
      <c r="F95" s="240" t="s">
        <v>866</v>
      </c>
      <c r="G95" s="103">
        <f>1*40*59.32</f>
        <v>2372.8000000000002</v>
      </c>
      <c r="H95" s="51">
        <f>IF(VLOOKUP(J95,'HOURLY RATES'!B$116:C$124,2,0)=0,$J$3,VLOOKUP(J95,'HOURLY RATES'!B$116:C$124,2,0))</f>
        <v>0.05</v>
      </c>
      <c r="I95" s="52">
        <f t="shared" si="26"/>
        <v>2491.4400000000005</v>
      </c>
      <c r="J95" s="101" t="s">
        <v>253</v>
      </c>
      <c r="K95" s="150">
        <v>4.3200000000000002E-2</v>
      </c>
      <c r="L95" s="151">
        <f t="shared" si="32"/>
        <v>107.63020800000002</v>
      </c>
      <c r="M95" s="57">
        <f>IF(VLOOKUP(E95,'HOURLY RATES'!C$6:D$105,2,0)=0,$E$3,VLOOKUP(E95,'HOURLY RATES'!C$6:D$105,2,0))</f>
        <v>102</v>
      </c>
      <c r="N95" s="152">
        <f t="shared" si="33"/>
        <v>10978.281216000003</v>
      </c>
      <c r="O95" s="107">
        <v>2.6</v>
      </c>
      <c r="P95" s="107">
        <f t="shared" si="28"/>
        <v>6477.7440000000015</v>
      </c>
      <c r="Q95" s="153">
        <f t="shared" si="29"/>
        <v>17456.025216000005</v>
      </c>
      <c r="R95" s="116"/>
      <c r="S95" s="129">
        <f t="shared" si="34"/>
        <v>9.0656024199999994</v>
      </c>
      <c r="T95" s="130">
        <f t="shared" si="35"/>
        <v>22586.404493284805</v>
      </c>
    </row>
    <row r="96" spans="1:20" s="7" customFormat="1" x14ac:dyDescent="0.25">
      <c r="A96" s="110">
        <f>IF(J96&lt;&gt;"",1+MAX($A$17:A95),"")</f>
        <v>60</v>
      </c>
      <c r="B96" s="104" t="s">
        <v>744</v>
      </c>
      <c r="C96" s="104" t="s">
        <v>745</v>
      </c>
      <c r="D96" s="102" t="s">
        <v>50</v>
      </c>
      <c r="E96" s="117" t="s">
        <v>168</v>
      </c>
      <c r="F96" s="240" t="s">
        <v>867</v>
      </c>
      <c r="G96" s="103">
        <f>3*42*59.32</f>
        <v>7474.32</v>
      </c>
      <c r="H96" s="51">
        <f>IF(VLOOKUP(J96,'HOURLY RATES'!B$116:C$124,2,0)=0,$J$3,VLOOKUP(J96,'HOURLY RATES'!B$116:C$124,2,0))</f>
        <v>0.05</v>
      </c>
      <c r="I96" s="52">
        <f t="shared" si="26"/>
        <v>7848.0360000000001</v>
      </c>
      <c r="J96" s="101" t="s">
        <v>253</v>
      </c>
      <c r="K96" s="150">
        <v>4.3200000000000002E-2</v>
      </c>
      <c r="L96" s="151">
        <f t="shared" si="32"/>
        <v>339.03515520000002</v>
      </c>
      <c r="M96" s="57">
        <f>IF(VLOOKUP(E96,'HOURLY RATES'!C$6:D$105,2,0)=0,$E$3,VLOOKUP(E96,'HOURLY RATES'!C$6:D$105,2,0))</f>
        <v>102</v>
      </c>
      <c r="N96" s="152">
        <f t="shared" si="33"/>
        <v>34581.585830399999</v>
      </c>
      <c r="O96" s="107">
        <v>2.6</v>
      </c>
      <c r="P96" s="107">
        <f t="shared" si="28"/>
        <v>20404.893599999999</v>
      </c>
      <c r="Q96" s="153">
        <f t="shared" si="29"/>
        <v>54986.479430399995</v>
      </c>
      <c r="R96" s="116"/>
      <c r="S96" s="129">
        <f t="shared" si="34"/>
        <v>9.0656024199999994</v>
      </c>
      <c r="T96" s="130">
        <f t="shared" si="35"/>
        <v>71147.174153847111</v>
      </c>
    </row>
    <row r="97" spans="1:20" s="7" customFormat="1" x14ac:dyDescent="0.25">
      <c r="A97" s="110">
        <f>IF(J97&lt;&gt;"",1+MAX($A$17:A96),"")</f>
        <v>61</v>
      </c>
      <c r="B97" s="104" t="s">
        <v>744</v>
      </c>
      <c r="C97" s="104" t="s">
        <v>745</v>
      </c>
      <c r="D97" s="102" t="s">
        <v>50</v>
      </c>
      <c r="E97" s="117" t="s">
        <v>168</v>
      </c>
      <c r="F97" s="240" t="s">
        <v>868</v>
      </c>
      <c r="G97" s="103">
        <f>4*44*59.32</f>
        <v>10440.32</v>
      </c>
      <c r="H97" s="51">
        <f>IF(VLOOKUP(J97,'HOURLY RATES'!B$116:C$124,2,0)=0,$J$3,VLOOKUP(J97,'HOURLY RATES'!B$116:C$124,2,0))</f>
        <v>0.05</v>
      </c>
      <c r="I97" s="52">
        <f t="shared" si="26"/>
        <v>10962.335999999999</v>
      </c>
      <c r="J97" s="101" t="s">
        <v>253</v>
      </c>
      <c r="K97" s="150">
        <v>4.3200000000000002E-2</v>
      </c>
      <c r="L97" s="151">
        <f t="shared" si="32"/>
        <v>473.57291520000001</v>
      </c>
      <c r="M97" s="57">
        <f>IF(VLOOKUP(E97,'HOURLY RATES'!C$6:D$105,2,0)=0,$E$3,VLOOKUP(E97,'HOURLY RATES'!C$6:D$105,2,0))</f>
        <v>102</v>
      </c>
      <c r="N97" s="152">
        <f t="shared" si="33"/>
        <v>48304.437350400003</v>
      </c>
      <c r="O97" s="107">
        <v>2.6</v>
      </c>
      <c r="P97" s="107">
        <f t="shared" si="28"/>
        <v>28502.0736</v>
      </c>
      <c r="Q97" s="153">
        <f t="shared" si="29"/>
        <v>76806.510950399999</v>
      </c>
      <c r="R97" s="116"/>
      <c r="S97" s="129">
        <f t="shared" si="34"/>
        <v>9.0656024200000012</v>
      </c>
      <c r="T97" s="130">
        <f t="shared" si="35"/>
        <v>99380.17977045312</v>
      </c>
    </row>
    <row r="98" spans="1:20" s="7" customFormat="1" x14ac:dyDescent="0.25">
      <c r="A98" s="110">
        <f>IF(J98&lt;&gt;"",1+MAX($A$17:A97),"")</f>
        <v>62</v>
      </c>
      <c r="B98" s="104" t="s">
        <v>744</v>
      </c>
      <c r="C98" s="104" t="s">
        <v>745</v>
      </c>
      <c r="D98" s="102" t="s">
        <v>50</v>
      </c>
      <c r="E98" s="117" t="s">
        <v>168</v>
      </c>
      <c r="F98" s="240" t="s">
        <v>869</v>
      </c>
      <c r="G98" s="103">
        <f>7*46*59.32</f>
        <v>19101.04</v>
      </c>
      <c r="H98" s="51">
        <f>IF(VLOOKUP(J98,'HOURLY RATES'!B$116:C$124,2,0)=0,$J$3,VLOOKUP(J98,'HOURLY RATES'!B$116:C$124,2,0))</f>
        <v>0.05</v>
      </c>
      <c r="I98" s="52">
        <f t="shared" si="26"/>
        <v>20056.092000000001</v>
      </c>
      <c r="J98" s="101" t="s">
        <v>253</v>
      </c>
      <c r="K98" s="150">
        <v>4.3200000000000002E-2</v>
      </c>
      <c r="L98" s="151">
        <f t="shared" si="32"/>
        <v>866.42317440000011</v>
      </c>
      <c r="M98" s="57">
        <f>IF(VLOOKUP(E98,'HOURLY RATES'!C$6:D$105,2,0)=0,$E$3,VLOOKUP(E98,'HOURLY RATES'!C$6:D$105,2,0))</f>
        <v>102</v>
      </c>
      <c r="N98" s="152">
        <f t="shared" si="33"/>
        <v>88375.163788800011</v>
      </c>
      <c r="O98" s="107">
        <v>2.6</v>
      </c>
      <c r="P98" s="107">
        <f t="shared" si="28"/>
        <v>52145.839200000002</v>
      </c>
      <c r="Q98" s="153">
        <f t="shared" si="29"/>
        <v>140521.0029888</v>
      </c>
      <c r="R98" s="116"/>
      <c r="S98" s="129">
        <f t="shared" si="34"/>
        <v>9.0656024200000012</v>
      </c>
      <c r="T98" s="130">
        <f t="shared" si="35"/>
        <v>181820.55617094267</v>
      </c>
    </row>
    <row r="99" spans="1:20" s="7" customFormat="1" x14ac:dyDescent="0.25">
      <c r="A99" s="110">
        <f>IF(J99&lt;&gt;"",1+MAX($A$17:A98),"")</f>
        <v>63</v>
      </c>
      <c r="B99" s="104" t="s">
        <v>744</v>
      </c>
      <c r="C99" s="104" t="s">
        <v>745</v>
      </c>
      <c r="D99" s="102" t="s">
        <v>50</v>
      </c>
      <c r="E99" s="117" t="s">
        <v>168</v>
      </c>
      <c r="F99" s="240" t="s">
        <v>870</v>
      </c>
      <c r="G99" s="103">
        <f>7*49*59.32</f>
        <v>20346.759999999998</v>
      </c>
      <c r="H99" s="51">
        <f>IF(VLOOKUP(J99,'HOURLY RATES'!B$116:C$124,2,0)=0,$J$3,VLOOKUP(J99,'HOURLY RATES'!B$116:C$124,2,0))</f>
        <v>0.05</v>
      </c>
      <c r="I99" s="52">
        <f t="shared" si="26"/>
        <v>21364.097999999998</v>
      </c>
      <c r="J99" s="101" t="s">
        <v>253</v>
      </c>
      <c r="K99" s="150">
        <v>4.3200000000000002E-2</v>
      </c>
      <c r="L99" s="151">
        <f t="shared" si="32"/>
        <v>922.92903359999991</v>
      </c>
      <c r="M99" s="57">
        <f>IF(VLOOKUP(E99,'HOURLY RATES'!C$6:D$105,2,0)=0,$E$3,VLOOKUP(E99,'HOURLY RATES'!C$6:D$105,2,0))</f>
        <v>102</v>
      </c>
      <c r="N99" s="152">
        <f t="shared" si="33"/>
        <v>94138.761427199992</v>
      </c>
      <c r="O99" s="107">
        <v>2.6</v>
      </c>
      <c r="P99" s="107">
        <f t="shared" si="28"/>
        <v>55546.654799999997</v>
      </c>
      <c r="Q99" s="153">
        <f t="shared" si="29"/>
        <v>149685.41622719998</v>
      </c>
      <c r="R99" s="116"/>
      <c r="S99" s="129">
        <f t="shared" si="34"/>
        <v>9.0656024199999976</v>
      </c>
      <c r="T99" s="130">
        <f t="shared" si="35"/>
        <v>193678.41852991708</v>
      </c>
    </row>
    <row r="100" spans="1:20" s="7" customFormat="1" x14ac:dyDescent="0.25">
      <c r="A100" s="110">
        <f>IF(J100&lt;&gt;"",1+MAX($A$17:A99),"")</f>
        <v>64</v>
      </c>
      <c r="B100" s="104" t="s">
        <v>744</v>
      </c>
      <c r="C100" s="104" t="s">
        <v>745</v>
      </c>
      <c r="D100" s="102" t="s">
        <v>50</v>
      </c>
      <c r="E100" s="117" t="s">
        <v>168</v>
      </c>
      <c r="F100" s="240" t="s">
        <v>871</v>
      </c>
      <c r="G100" s="103">
        <f>3*51*59.32</f>
        <v>9075.9600000000009</v>
      </c>
      <c r="H100" s="51">
        <f>IF(VLOOKUP(J100,'HOURLY RATES'!B$116:C$124,2,0)=0,$J$3,VLOOKUP(J100,'HOURLY RATES'!B$116:C$124,2,0))</f>
        <v>0.05</v>
      </c>
      <c r="I100" s="52">
        <f t="shared" si="26"/>
        <v>9529.7580000000016</v>
      </c>
      <c r="J100" s="101" t="s">
        <v>253</v>
      </c>
      <c r="K100" s="150">
        <v>4.3200000000000002E-2</v>
      </c>
      <c r="L100" s="151">
        <f t="shared" si="32"/>
        <v>411.68554560000007</v>
      </c>
      <c r="M100" s="57">
        <f>IF(VLOOKUP(E100,'HOURLY RATES'!C$6:D$105,2,0)=0,$E$3,VLOOKUP(E100,'HOURLY RATES'!C$6:D$105,2,0))</f>
        <v>102</v>
      </c>
      <c r="N100" s="152">
        <f t="shared" si="33"/>
        <v>41991.925651200007</v>
      </c>
      <c r="O100" s="107">
        <v>2.6</v>
      </c>
      <c r="P100" s="107">
        <f t="shared" si="28"/>
        <v>24777.370800000004</v>
      </c>
      <c r="Q100" s="153">
        <f t="shared" si="29"/>
        <v>66769.296451200004</v>
      </c>
      <c r="R100" s="116"/>
      <c r="S100" s="129">
        <f t="shared" si="34"/>
        <v>9.0656024199999994</v>
      </c>
      <c r="T100" s="130">
        <f t="shared" si="35"/>
        <v>86392.997186814362</v>
      </c>
    </row>
    <row r="101" spans="1:20" s="7" customFormat="1" x14ac:dyDescent="0.25">
      <c r="A101" s="110">
        <f>IF(J101&lt;&gt;"",1+MAX($A$17:A100),"")</f>
        <v>65</v>
      </c>
      <c r="B101" s="104" t="s">
        <v>744</v>
      </c>
      <c r="C101" s="104" t="s">
        <v>745</v>
      </c>
      <c r="D101" s="102" t="s">
        <v>50</v>
      </c>
      <c r="E101" s="117" t="s">
        <v>168</v>
      </c>
      <c r="F101" s="240" t="s">
        <v>872</v>
      </c>
      <c r="G101" s="103">
        <f>2*52*59.32</f>
        <v>6169.28</v>
      </c>
      <c r="H101" s="51">
        <f>IF(VLOOKUP(J101,'HOURLY RATES'!B$116:C$124,2,0)=0,$J$3,VLOOKUP(J101,'HOURLY RATES'!B$116:C$124,2,0))</f>
        <v>0.05</v>
      </c>
      <c r="I101" s="52">
        <f t="shared" si="26"/>
        <v>6477.7439999999997</v>
      </c>
      <c r="J101" s="101" t="s">
        <v>253</v>
      </c>
      <c r="K101" s="150">
        <v>4.3200000000000002E-2</v>
      </c>
      <c r="L101" s="151">
        <f t="shared" si="32"/>
        <v>279.83854079999998</v>
      </c>
      <c r="M101" s="57">
        <f>IF(VLOOKUP(E101,'HOURLY RATES'!C$6:D$105,2,0)=0,$E$3,VLOOKUP(E101,'HOURLY RATES'!C$6:D$105,2,0))</f>
        <v>102</v>
      </c>
      <c r="N101" s="152">
        <f t="shared" si="33"/>
        <v>28543.531161599996</v>
      </c>
      <c r="O101" s="107">
        <v>2.6</v>
      </c>
      <c r="P101" s="107">
        <f t="shared" si="28"/>
        <v>16842.134399999999</v>
      </c>
      <c r="Q101" s="153">
        <f t="shared" si="29"/>
        <v>45385.665561599992</v>
      </c>
      <c r="R101" s="116"/>
      <c r="S101" s="129">
        <f t="shared" si="34"/>
        <v>9.0656024199999994</v>
      </c>
      <c r="T101" s="130">
        <f t="shared" si="35"/>
        <v>58724.651682540476</v>
      </c>
    </row>
    <row r="102" spans="1:20" s="7" customFormat="1" x14ac:dyDescent="0.25">
      <c r="A102" s="110">
        <f>IF(J102&lt;&gt;"",1+MAX($A$17:A101),"")</f>
        <v>66</v>
      </c>
      <c r="B102" s="104" t="s">
        <v>744</v>
      </c>
      <c r="C102" s="104" t="s">
        <v>745</v>
      </c>
      <c r="D102" s="102" t="s">
        <v>50</v>
      </c>
      <c r="E102" s="117" t="s">
        <v>168</v>
      </c>
      <c r="F102" s="240" t="s">
        <v>873</v>
      </c>
      <c r="G102" s="103">
        <f>3*54*59.32</f>
        <v>9609.84</v>
      </c>
      <c r="H102" s="51">
        <f>IF(VLOOKUP(J102,'HOURLY RATES'!B$116:C$124,2,0)=0,$J$3,VLOOKUP(J102,'HOURLY RATES'!B$116:C$124,2,0))</f>
        <v>0.05</v>
      </c>
      <c r="I102" s="52">
        <f t="shared" si="26"/>
        <v>10090.332</v>
      </c>
      <c r="J102" s="101" t="s">
        <v>253</v>
      </c>
      <c r="K102" s="150">
        <v>4.3200000000000002E-2</v>
      </c>
      <c r="L102" s="151">
        <f t="shared" si="32"/>
        <v>435.90234240000007</v>
      </c>
      <c r="M102" s="57">
        <f>IF(VLOOKUP(E102,'HOURLY RATES'!C$6:D$105,2,0)=0,$E$3,VLOOKUP(E102,'HOURLY RATES'!C$6:D$105,2,0))</f>
        <v>102</v>
      </c>
      <c r="N102" s="152">
        <f t="shared" si="33"/>
        <v>44462.038924800006</v>
      </c>
      <c r="O102" s="107">
        <v>2.6</v>
      </c>
      <c r="P102" s="107">
        <f t="shared" si="28"/>
        <v>26234.863200000003</v>
      </c>
      <c r="Q102" s="153">
        <f t="shared" si="29"/>
        <v>70696.902124800006</v>
      </c>
      <c r="R102" s="116"/>
      <c r="S102" s="129">
        <f t="shared" si="34"/>
        <v>9.0656024200000012</v>
      </c>
      <c r="T102" s="130">
        <f t="shared" si="35"/>
        <v>91474.938197803451</v>
      </c>
    </row>
    <row r="103" spans="1:20" s="7" customFormat="1" x14ac:dyDescent="0.25">
      <c r="A103" s="110">
        <f>IF(J103&lt;&gt;"",1+MAX($A$17:A102),"")</f>
        <v>67</v>
      </c>
      <c r="B103" s="104" t="s">
        <v>744</v>
      </c>
      <c r="C103" s="104" t="s">
        <v>745</v>
      </c>
      <c r="D103" s="102" t="s">
        <v>50</v>
      </c>
      <c r="E103" s="117" t="s">
        <v>168</v>
      </c>
      <c r="F103" s="240" t="s">
        <v>874</v>
      </c>
      <c r="G103" s="103">
        <f>1*45*48.85</f>
        <v>2198.25</v>
      </c>
      <c r="H103" s="51">
        <f>IF(VLOOKUP(J103,'HOURLY RATES'!B$116:C$124,2,0)=0,$J$3,VLOOKUP(J103,'HOURLY RATES'!B$116:C$124,2,0))</f>
        <v>0.05</v>
      </c>
      <c r="I103" s="52">
        <f t="shared" si="26"/>
        <v>2308.1624999999999</v>
      </c>
      <c r="J103" s="101" t="s">
        <v>253</v>
      </c>
      <c r="K103" s="150">
        <v>4.3200000000000002E-2</v>
      </c>
      <c r="L103" s="151">
        <f t="shared" si="32"/>
        <v>99.712620000000001</v>
      </c>
      <c r="M103" s="57">
        <f>IF(VLOOKUP(E103,'HOURLY RATES'!C$6:D$105,2,0)=0,$E$3,VLOOKUP(E103,'HOURLY RATES'!C$6:D$105,2,0))</f>
        <v>102</v>
      </c>
      <c r="N103" s="152">
        <f t="shared" si="33"/>
        <v>10170.687239999999</v>
      </c>
      <c r="O103" s="107">
        <v>2.6</v>
      </c>
      <c r="P103" s="107">
        <f t="shared" si="28"/>
        <v>6001.2224999999999</v>
      </c>
      <c r="Q103" s="153">
        <f t="shared" si="29"/>
        <v>16171.909739999999</v>
      </c>
      <c r="R103" s="116"/>
      <c r="S103" s="129">
        <f t="shared" si="34"/>
        <v>9.0656024199999994</v>
      </c>
      <c r="T103" s="130">
        <f t="shared" si="35"/>
        <v>20924.883545753248</v>
      </c>
    </row>
    <row r="104" spans="1:20" s="7" customFormat="1" x14ac:dyDescent="0.25">
      <c r="A104" s="110">
        <f>IF(J104&lt;&gt;"",1+MAX($A$17:A103),"")</f>
        <v>68</v>
      </c>
      <c r="B104" s="104" t="s">
        <v>744</v>
      </c>
      <c r="C104" s="104" t="s">
        <v>745</v>
      </c>
      <c r="D104" s="102" t="s">
        <v>50</v>
      </c>
      <c r="E104" s="117" t="s">
        <v>168</v>
      </c>
      <c r="F104" s="240" t="s">
        <v>875</v>
      </c>
      <c r="G104" s="103">
        <f>1*52*48.85</f>
        <v>2540.2000000000003</v>
      </c>
      <c r="H104" s="51">
        <f>IF(VLOOKUP(J104,'HOURLY RATES'!B$116:C$124,2,0)=0,$J$3,VLOOKUP(J104,'HOURLY RATES'!B$116:C$124,2,0))</f>
        <v>0.05</v>
      </c>
      <c r="I104" s="52">
        <f t="shared" si="26"/>
        <v>2667.2100000000005</v>
      </c>
      <c r="J104" s="101" t="s">
        <v>253</v>
      </c>
      <c r="K104" s="150">
        <v>4.3200000000000002E-2</v>
      </c>
      <c r="L104" s="151">
        <f t="shared" si="32"/>
        <v>115.22347200000003</v>
      </c>
      <c r="M104" s="57">
        <f>IF(VLOOKUP(E104,'HOURLY RATES'!C$6:D$105,2,0)=0,$E$3,VLOOKUP(E104,'HOURLY RATES'!C$6:D$105,2,0))</f>
        <v>102</v>
      </c>
      <c r="N104" s="152">
        <f t="shared" si="33"/>
        <v>11752.794144000003</v>
      </c>
      <c r="O104" s="107">
        <v>2.6</v>
      </c>
      <c r="P104" s="107">
        <f t="shared" si="28"/>
        <v>6934.7460000000019</v>
      </c>
      <c r="Q104" s="153">
        <f t="shared" si="29"/>
        <v>18687.540144000006</v>
      </c>
      <c r="R104" s="116"/>
      <c r="S104" s="129">
        <f t="shared" si="34"/>
        <v>9.0656024200000012</v>
      </c>
      <c r="T104" s="130">
        <f t="shared" si="35"/>
        <v>24179.865430648206</v>
      </c>
    </row>
    <row r="105" spans="1:20" s="7" customFormat="1" x14ac:dyDescent="0.25">
      <c r="A105" s="110">
        <f>IF(J105&lt;&gt;"",1+MAX($A$17:A104),"")</f>
        <v>69</v>
      </c>
      <c r="B105" s="104" t="s">
        <v>744</v>
      </c>
      <c r="C105" s="104" t="s">
        <v>745</v>
      </c>
      <c r="D105" s="102" t="s">
        <v>50</v>
      </c>
      <c r="E105" s="117" t="s">
        <v>168</v>
      </c>
      <c r="F105" s="240" t="s">
        <v>876</v>
      </c>
      <c r="G105" s="103">
        <f>2*14*42.79</f>
        <v>1198.1199999999999</v>
      </c>
      <c r="H105" s="51">
        <f>IF(VLOOKUP(J105,'HOURLY RATES'!B$116:C$124,2,0)=0,$J$3,VLOOKUP(J105,'HOURLY RATES'!B$116:C$124,2,0))</f>
        <v>0.05</v>
      </c>
      <c r="I105" s="52">
        <f t="shared" si="26"/>
        <v>1258.0259999999998</v>
      </c>
      <c r="J105" s="101" t="s">
        <v>253</v>
      </c>
      <c r="K105" s="150">
        <v>4.3200000000000002E-2</v>
      </c>
      <c r="L105" s="151">
        <f t="shared" si="32"/>
        <v>54.346723199999992</v>
      </c>
      <c r="M105" s="57">
        <f>IF(VLOOKUP(E105,'HOURLY RATES'!C$6:D$105,2,0)=0,$E$3,VLOOKUP(E105,'HOURLY RATES'!C$6:D$105,2,0))</f>
        <v>102</v>
      </c>
      <c r="N105" s="152">
        <f t="shared" si="33"/>
        <v>5543.3657663999993</v>
      </c>
      <c r="O105" s="107">
        <v>2.6</v>
      </c>
      <c r="P105" s="107">
        <f t="shared" si="28"/>
        <v>3270.8675999999996</v>
      </c>
      <c r="Q105" s="153">
        <f t="shared" si="29"/>
        <v>8814.2333663999998</v>
      </c>
      <c r="R105" s="116"/>
      <c r="S105" s="129">
        <f t="shared" si="34"/>
        <v>9.0656024199999976</v>
      </c>
      <c r="T105" s="130">
        <f t="shared" si="35"/>
        <v>11404.763550022915</v>
      </c>
    </row>
    <row r="106" spans="1:20" s="7" customFormat="1" x14ac:dyDescent="0.25">
      <c r="A106" s="110">
        <f>IF(J106&lt;&gt;"",1+MAX($A$17:A105),"")</f>
        <v>70</v>
      </c>
      <c r="B106" s="104" t="s">
        <v>744</v>
      </c>
      <c r="C106" s="104" t="s">
        <v>745</v>
      </c>
      <c r="D106" s="102" t="s">
        <v>50</v>
      </c>
      <c r="E106" s="117" t="s">
        <v>168</v>
      </c>
      <c r="F106" s="240" t="s">
        <v>877</v>
      </c>
      <c r="G106" s="103">
        <f>2*29*42.79</f>
        <v>2481.8200000000002</v>
      </c>
      <c r="H106" s="51">
        <f>IF(VLOOKUP(J106,'HOURLY RATES'!B$116:C$124,2,0)=0,$J$3,VLOOKUP(J106,'HOURLY RATES'!B$116:C$124,2,0))</f>
        <v>0.05</v>
      </c>
      <c r="I106" s="52">
        <f t="shared" si="26"/>
        <v>2605.9110000000001</v>
      </c>
      <c r="J106" s="101" t="s">
        <v>253</v>
      </c>
      <c r="K106" s="150">
        <v>4.3200000000000002E-2</v>
      </c>
      <c r="L106" s="151">
        <f t="shared" si="32"/>
        <v>112.5753552</v>
      </c>
      <c r="M106" s="57">
        <f>IF(VLOOKUP(E106,'HOURLY RATES'!C$6:D$105,2,0)=0,$E$3,VLOOKUP(E106,'HOURLY RATES'!C$6:D$105,2,0))</f>
        <v>102</v>
      </c>
      <c r="N106" s="152">
        <f t="shared" si="33"/>
        <v>11482.686230400001</v>
      </c>
      <c r="O106" s="107">
        <v>2.6</v>
      </c>
      <c r="P106" s="107">
        <f t="shared" si="28"/>
        <v>6775.3686000000007</v>
      </c>
      <c r="Q106" s="153">
        <f t="shared" si="29"/>
        <v>18258.0548304</v>
      </c>
      <c r="R106" s="116"/>
      <c r="S106" s="129">
        <f t="shared" si="34"/>
        <v>9.0656024199999994</v>
      </c>
      <c r="T106" s="130">
        <f t="shared" si="35"/>
        <v>23624.153067904619</v>
      </c>
    </row>
    <row r="107" spans="1:20" s="7" customFormat="1" x14ac:dyDescent="0.25">
      <c r="A107" s="110">
        <f>IF(J107&lt;&gt;"",1+MAX($A$17:A106),"")</f>
        <v>71</v>
      </c>
      <c r="B107" s="104" t="s">
        <v>744</v>
      </c>
      <c r="C107" s="104" t="s">
        <v>745</v>
      </c>
      <c r="D107" s="102" t="s">
        <v>50</v>
      </c>
      <c r="E107" s="117" t="s">
        <v>168</v>
      </c>
      <c r="F107" s="240" t="s">
        <v>878</v>
      </c>
      <c r="G107" s="103">
        <f>2*42*42.79</f>
        <v>3594.36</v>
      </c>
      <c r="H107" s="51">
        <f>IF(VLOOKUP(J107,'HOURLY RATES'!B$116:C$124,2,0)=0,$J$3,VLOOKUP(J107,'HOURLY RATES'!B$116:C$124,2,0))</f>
        <v>0.05</v>
      </c>
      <c r="I107" s="52">
        <f t="shared" si="26"/>
        <v>3774.0780000000004</v>
      </c>
      <c r="J107" s="101" t="s">
        <v>253</v>
      </c>
      <c r="K107" s="150">
        <v>4.3200000000000002E-2</v>
      </c>
      <c r="L107" s="151">
        <f t="shared" si="32"/>
        <v>163.04016960000004</v>
      </c>
      <c r="M107" s="57">
        <f>IF(VLOOKUP(E107,'HOURLY RATES'!C$6:D$105,2,0)=0,$E$3,VLOOKUP(E107,'HOURLY RATES'!C$6:D$105,2,0))</f>
        <v>102</v>
      </c>
      <c r="N107" s="152">
        <f t="shared" si="33"/>
        <v>16630.097299200002</v>
      </c>
      <c r="O107" s="107">
        <v>2.6</v>
      </c>
      <c r="P107" s="107">
        <f t="shared" si="28"/>
        <v>9812.6028000000006</v>
      </c>
      <c r="Q107" s="153">
        <f t="shared" si="29"/>
        <v>26442.700099200003</v>
      </c>
      <c r="R107" s="116"/>
      <c r="S107" s="129">
        <f t="shared" si="34"/>
        <v>9.0656024199999994</v>
      </c>
      <c r="T107" s="130">
        <f t="shared" si="35"/>
        <v>34214.29065006876</v>
      </c>
    </row>
    <row r="108" spans="1:20" s="7" customFormat="1" x14ac:dyDescent="0.25">
      <c r="A108" s="110">
        <f>IF(J108&lt;&gt;"",1+MAX($A$17:A107),"")</f>
        <v>72</v>
      </c>
      <c r="B108" s="104" t="s">
        <v>744</v>
      </c>
      <c r="C108" s="104" t="s">
        <v>745</v>
      </c>
      <c r="D108" s="102" t="s">
        <v>50</v>
      </c>
      <c r="E108" s="117" t="s">
        <v>168</v>
      </c>
      <c r="F108" s="240" t="s">
        <v>879</v>
      </c>
      <c r="G108" s="103">
        <f>1*43*42.79</f>
        <v>1839.97</v>
      </c>
      <c r="H108" s="51">
        <f>IF(VLOOKUP(J108,'HOURLY RATES'!B$116:C$124,2,0)=0,$J$3,VLOOKUP(J108,'HOURLY RATES'!B$116:C$124,2,0))</f>
        <v>0.05</v>
      </c>
      <c r="I108" s="52">
        <f t="shared" si="26"/>
        <v>1931.9685000000002</v>
      </c>
      <c r="J108" s="101" t="s">
        <v>253</v>
      </c>
      <c r="K108" s="150">
        <v>4.3200000000000002E-2</v>
      </c>
      <c r="L108" s="151">
        <f t="shared" si="32"/>
        <v>83.461039200000016</v>
      </c>
      <c r="M108" s="57">
        <f>IF(VLOOKUP(E108,'HOURLY RATES'!C$6:D$105,2,0)=0,$E$3,VLOOKUP(E108,'HOURLY RATES'!C$6:D$105,2,0))</f>
        <v>102</v>
      </c>
      <c r="N108" s="152">
        <f t="shared" si="33"/>
        <v>8513.0259984000022</v>
      </c>
      <c r="O108" s="107">
        <v>2.6</v>
      </c>
      <c r="P108" s="107">
        <f t="shared" si="28"/>
        <v>5023.1181000000006</v>
      </c>
      <c r="Q108" s="153">
        <f t="shared" si="29"/>
        <v>13536.144098400004</v>
      </c>
      <c r="R108" s="116"/>
      <c r="S108" s="129">
        <f t="shared" si="34"/>
        <v>9.0656024199999994</v>
      </c>
      <c r="T108" s="130">
        <f t="shared" si="35"/>
        <v>17514.458308963771</v>
      </c>
    </row>
    <row r="109" spans="1:20" s="7" customFormat="1" x14ac:dyDescent="0.25">
      <c r="A109" s="110">
        <f>IF(J109&lt;&gt;"",1+MAX($A$17:A108),"")</f>
        <v>73</v>
      </c>
      <c r="B109" s="104" t="s">
        <v>744</v>
      </c>
      <c r="C109" s="104" t="s">
        <v>745</v>
      </c>
      <c r="D109" s="102" t="s">
        <v>50</v>
      </c>
      <c r="E109" s="117" t="s">
        <v>168</v>
      </c>
      <c r="F109" s="240" t="s">
        <v>880</v>
      </c>
      <c r="G109" s="103">
        <f>3*45*42.79</f>
        <v>5776.65</v>
      </c>
      <c r="H109" s="51">
        <f>IF(VLOOKUP(J109,'HOURLY RATES'!B$116:C$124,2,0)=0,$J$3,VLOOKUP(J109,'HOURLY RATES'!B$116:C$124,2,0))</f>
        <v>0.05</v>
      </c>
      <c r="I109" s="52">
        <f t="shared" si="26"/>
        <v>6065.4825000000001</v>
      </c>
      <c r="J109" s="101" t="s">
        <v>253</v>
      </c>
      <c r="K109" s="150">
        <v>4.3200000000000002E-2</v>
      </c>
      <c r="L109" s="151">
        <f t="shared" si="32"/>
        <v>262.02884399999999</v>
      </c>
      <c r="M109" s="57">
        <f>IF(VLOOKUP(E109,'HOURLY RATES'!C$6:D$105,2,0)=0,$E$3,VLOOKUP(E109,'HOURLY RATES'!C$6:D$105,2,0))</f>
        <v>102</v>
      </c>
      <c r="N109" s="152">
        <f t="shared" si="33"/>
        <v>26726.942088</v>
      </c>
      <c r="O109" s="107">
        <v>2.6</v>
      </c>
      <c r="P109" s="107">
        <f t="shared" si="28"/>
        <v>15770.254500000001</v>
      </c>
      <c r="Q109" s="153">
        <f t="shared" si="29"/>
        <v>42497.196587999999</v>
      </c>
      <c r="R109" s="116"/>
      <c r="S109" s="129">
        <f t="shared" si="34"/>
        <v>9.0656024199999994</v>
      </c>
      <c r="T109" s="130">
        <f t="shared" si="35"/>
        <v>54987.252830467645</v>
      </c>
    </row>
    <row r="110" spans="1:20" s="7" customFormat="1" x14ac:dyDescent="0.25">
      <c r="A110" s="110">
        <f>IF(J110&lt;&gt;"",1+MAX($A$17:A109),"")</f>
        <v>74</v>
      </c>
      <c r="B110" s="104" t="s">
        <v>744</v>
      </c>
      <c r="C110" s="104" t="s">
        <v>745</v>
      </c>
      <c r="D110" s="102" t="s">
        <v>50</v>
      </c>
      <c r="E110" s="117" t="s">
        <v>168</v>
      </c>
      <c r="F110" s="240" t="s">
        <v>881</v>
      </c>
      <c r="G110" s="103">
        <f>3*48*42.79</f>
        <v>6161.76</v>
      </c>
      <c r="H110" s="51">
        <f>IF(VLOOKUP(J110,'HOURLY RATES'!B$116:C$124,2,0)=0,$J$3,VLOOKUP(J110,'HOURLY RATES'!B$116:C$124,2,0))</f>
        <v>0.05</v>
      </c>
      <c r="I110" s="52">
        <f t="shared" si="26"/>
        <v>6469.8480000000009</v>
      </c>
      <c r="J110" s="101" t="s">
        <v>253</v>
      </c>
      <c r="K110" s="150">
        <v>4.3200000000000002E-2</v>
      </c>
      <c r="L110" s="151">
        <f t="shared" si="32"/>
        <v>279.49743360000008</v>
      </c>
      <c r="M110" s="57">
        <f>IF(VLOOKUP(E110,'HOURLY RATES'!C$6:D$105,2,0)=0,$E$3,VLOOKUP(E110,'HOURLY RATES'!C$6:D$105,2,0))</f>
        <v>102</v>
      </c>
      <c r="N110" s="152">
        <f t="shared" si="33"/>
        <v>28508.738227200007</v>
      </c>
      <c r="O110" s="107">
        <v>2.6</v>
      </c>
      <c r="P110" s="107">
        <f t="shared" si="28"/>
        <v>16821.604800000005</v>
      </c>
      <c r="Q110" s="153">
        <f t="shared" si="29"/>
        <v>45330.343027200011</v>
      </c>
      <c r="R110" s="116"/>
      <c r="S110" s="129">
        <f t="shared" si="34"/>
        <v>9.0656024199999994</v>
      </c>
      <c r="T110" s="130">
        <f t="shared" si="35"/>
        <v>58653.069685832161</v>
      </c>
    </row>
    <row r="111" spans="1:20" s="7" customFormat="1" x14ac:dyDescent="0.25">
      <c r="A111" s="110">
        <f>IF(J111&lt;&gt;"",1+MAX($A$17:A110),"")</f>
        <v>75</v>
      </c>
      <c r="B111" s="104" t="s">
        <v>744</v>
      </c>
      <c r="C111" s="104" t="s">
        <v>745</v>
      </c>
      <c r="D111" s="102" t="s">
        <v>50</v>
      </c>
      <c r="E111" s="117" t="s">
        <v>168</v>
      </c>
      <c r="F111" s="240" t="s">
        <v>882</v>
      </c>
      <c r="G111" s="103">
        <f>1*49*42.79</f>
        <v>2096.71</v>
      </c>
      <c r="H111" s="51">
        <f>IF(VLOOKUP(J111,'HOURLY RATES'!B$116:C$124,2,0)=0,$J$3,VLOOKUP(J111,'HOURLY RATES'!B$116:C$124,2,0))</f>
        <v>0.05</v>
      </c>
      <c r="I111" s="52">
        <f t="shared" si="26"/>
        <v>2201.5455000000002</v>
      </c>
      <c r="J111" s="101" t="s">
        <v>253</v>
      </c>
      <c r="K111" s="150">
        <v>4.3200000000000002E-2</v>
      </c>
      <c r="L111" s="151">
        <f t="shared" si="32"/>
        <v>95.106765600000017</v>
      </c>
      <c r="M111" s="57">
        <f>IF(VLOOKUP(E111,'HOURLY RATES'!C$6:D$105,2,0)=0,$E$3,VLOOKUP(E111,'HOURLY RATES'!C$6:D$105,2,0))</f>
        <v>102</v>
      </c>
      <c r="N111" s="152">
        <f t="shared" si="33"/>
        <v>9700.8900912000026</v>
      </c>
      <c r="O111" s="107">
        <v>2.6</v>
      </c>
      <c r="P111" s="107">
        <f t="shared" si="28"/>
        <v>5724.0183000000006</v>
      </c>
      <c r="Q111" s="153">
        <f t="shared" si="29"/>
        <v>15424.908391200002</v>
      </c>
      <c r="R111" s="116"/>
      <c r="S111" s="129">
        <f t="shared" si="34"/>
        <v>9.0656024200000012</v>
      </c>
      <c r="T111" s="130">
        <f t="shared" si="35"/>
        <v>19958.336212540115</v>
      </c>
    </row>
    <row r="112" spans="1:20" s="7" customFormat="1" x14ac:dyDescent="0.25">
      <c r="A112" s="110">
        <f>IF(J112&lt;&gt;"",1+MAX($A$17:A111),"")</f>
        <v>76</v>
      </c>
      <c r="B112" s="104" t="s">
        <v>744</v>
      </c>
      <c r="C112" s="104" t="s">
        <v>745</v>
      </c>
      <c r="D112" s="102" t="s">
        <v>50</v>
      </c>
      <c r="E112" s="117" t="s">
        <v>168</v>
      </c>
      <c r="F112" s="240" t="s">
        <v>883</v>
      </c>
      <c r="G112" s="103">
        <f>3*51*42.79</f>
        <v>6546.87</v>
      </c>
      <c r="H112" s="51">
        <f>IF(VLOOKUP(J112,'HOURLY RATES'!B$116:C$124,2,0)=0,$J$3,VLOOKUP(J112,'HOURLY RATES'!B$116:C$124,2,0))</f>
        <v>0.05</v>
      </c>
      <c r="I112" s="52">
        <f t="shared" si="26"/>
        <v>6874.2134999999998</v>
      </c>
      <c r="J112" s="101" t="s">
        <v>253</v>
      </c>
      <c r="K112" s="150">
        <v>4.3200000000000002E-2</v>
      </c>
      <c r="L112" s="151">
        <f t="shared" si="32"/>
        <v>296.9660232</v>
      </c>
      <c r="M112" s="57">
        <f>IF(VLOOKUP(E112,'HOURLY RATES'!C$6:D$105,2,0)=0,$E$3,VLOOKUP(E112,'HOURLY RATES'!C$6:D$105,2,0))</f>
        <v>102</v>
      </c>
      <c r="N112" s="152">
        <f t="shared" si="33"/>
        <v>30290.534366399999</v>
      </c>
      <c r="O112" s="107">
        <v>2.6</v>
      </c>
      <c r="P112" s="107">
        <f t="shared" si="28"/>
        <v>17872.955099999999</v>
      </c>
      <c r="Q112" s="153">
        <f t="shared" si="29"/>
        <v>48163.489466400002</v>
      </c>
      <c r="R112" s="116"/>
      <c r="S112" s="129">
        <f t="shared" si="34"/>
        <v>9.0656024199999994</v>
      </c>
      <c r="T112" s="130">
        <f t="shared" si="35"/>
        <v>62318.886541196662</v>
      </c>
    </row>
    <row r="113" spans="1:20" s="7" customFormat="1" x14ac:dyDescent="0.25">
      <c r="A113" s="110">
        <f>IF(J113&lt;&gt;"",1+MAX($A$17:A112),"")</f>
        <v>77</v>
      </c>
      <c r="B113" s="104" t="s">
        <v>744</v>
      </c>
      <c r="C113" s="104" t="s">
        <v>745</v>
      </c>
      <c r="D113" s="102" t="s">
        <v>50</v>
      </c>
      <c r="E113" s="117" t="s">
        <v>168</v>
      </c>
      <c r="F113" s="240" t="s">
        <v>884</v>
      </c>
      <c r="G113" s="103">
        <f>1*52*42.79</f>
        <v>2225.08</v>
      </c>
      <c r="H113" s="51">
        <f>IF(VLOOKUP(J113,'HOURLY RATES'!B$116:C$124,2,0)=0,$J$3,VLOOKUP(J113,'HOURLY RATES'!B$116:C$124,2,0))</f>
        <v>0.05</v>
      </c>
      <c r="I113" s="52">
        <f t="shared" si="26"/>
        <v>2336.3339999999998</v>
      </c>
      <c r="J113" s="101" t="s">
        <v>253</v>
      </c>
      <c r="K113" s="150">
        <v>4.3200000000000002E-2</v>
      </c>
      <c r="L113" s="151">
        <f t="shared" si="32"/>
        <v>100.9296288</v>
      </c>
      <c r="M113" s="57">
        <f>IF(VLOOKUP(E113,'HOURLY RATES'!C$6:D$105,2,0)=0,$E$3,VLOOKUP(E113,'HOURLY RATES'!C$6:D$105,2,0))</f>
        <v>102</v>
      </c>
      <c r="N113" s="152">
        <f t="shared" si="33"/>
        <v>10294.8221376</v>
      </c>
      <c r="O113" s="107">
        <v>2.6</v>
      </c>
      <c r="P113" s="107">
        <f t="shared" si="28"/>
        <v>6074.4683999999997</v>
      </c>
      <c r="Q113" s="153">
        <f t="shared" si="29"/>
        <v>16369.2905376</v>
      </c>
      <c r="R113" s="116"/>
      <c r="S113" s="129">
        <f t="shared" si="34"/>
        <v>9.0656024199999994</v>
      </c>
      <c r="T113" s="130">
        <f t="shared" si="35"/>
        <v>21180.275164328275</v>
      </c>
    </row>
    <row r="114" spans="1:20" s="7" customFormat="1" x14ac:dyDescent="0.25">
      <c r="A114" s="110">
        <f>IF(J114&lt;&gt;"",1+MAX($A$17:A113),"")</f>
        <v>78</v>
      </c>
      <c r="B114" s="104" t="s">
        <v>744</v>
      </c>
      <c r="C114" s="104" t="s">
        <v>745</v>
      </c>
      <c r="D114" s="102" t="s">
        <v>50</v>
      </c>
      <c r="E114" s="117" t="s">
        <v>168</v>
      </c>
      <c r="F114" s="240" t="s">
        <v>885</v>
      </c>
      <c r="G114" s="103">
        <f>2*54*42.79</f>
        <v>4621.32</v>
      </c>
      <c r="H114" s="51">
        <f>IF(VLOOKUP(J114,'HOURLY RATES'!B$116:C$124,2,0)=0,$J$3,VLOOKUP(J114,'HOURLY RATES'!B$116:C$124,2,0))</f>
        <v>0.05</v>
      </c>
      <c r="I114" s="52">
        <f t="shared" si="26"/>
        <v>4852.3859999999995</v>
      </c>
      <c r="J114" s="101" t="s">
        <v>253</v>
      </c>
      <c r="K114" s="150">
        <v>4.3200000000000002E-2</v>
      </c>
      <c r="L114" s="151">
        <f t="shared" si="32"/>
        <v>209.62307519999999</v>
      </c>
      <c r="M114" s="57">
        <f>IF(VLOOKUP(E114,'HOURLY RATES'!C$6:D$105,2,0)=0,$E$3,VLOOKUP(E114,'HOURLY RATES'!C$6:D$105,2,0))</f>
        <v>102</v>
      </c>
      <c r="N114" s="152">
        <f t="shared" si="33"/>
        <v>21381.553670400001</v>
      </c>
      <c r="O114" s="107">
        <v>2.6</v>
      </c>
      <c r="P114" s="107">
        <f t="shared" si="28"/>
        <v>12616.203599999999</v>
      </c>
      <c r="Q114" s="153">
        <f t="shared" si="29"/>
        <v>33997.757270399998</v>
      </c>
      <c r="R114" s="116"/>
      <c r="S114" s="129">
        <f t="shared" si="34"/>
        <v>9.0656024200000012</v>
      </c>
      <c r="T114" s="130">
        <f t="shared" si="35"/>
        <v>43989.802264374121</v>
      </c>
    </row>
    <row r="115" spans="1:20" s="7" customFormat="1" x14ac:dyDescent="0.25">
      <c r="A115" s="110">
        <f>IF(J115&lt;&gt;"",1+MAX($A$17:A114),"")</f>
        <v>79</v>
      </c>
      <c r="B115" s="104" t="s">
        <v>744</v>
      </c>
      <c r="C115" s="104" t="s">
        <v>745</v>
      </c>
      <c r="D115" s="102" t="s">
        <v>50</v>
      </c>
      <c r="E115" s="117" t="s">
        <v>168</v>
      </c>
      <c r="F115" s="240" t="s">
        <v>886</v>
      </c>
      <c r="G115" s="103">
        <f>2*20*47.9</f>
        <v>1916</v>
      </c>
      <c r="H115" s="51">
        <f>IF(VLOOKUP(J115,'HOURLY RATES'!B$116:C$124,2,0)=0,$J$3,VLOOKUP(J115,'HOURLY RATES'!B$116:C$124,2,0))</f>
        <v>0.05</v>
      </c>
      <c r="I115" s="52">
        <f t="shared" si="26"/>
        <v>2011.8000000000002</v>
      </c>
      <c r="J115" s="101" t="s">
        <v>253</v>
      </c>
      <c r="K115" s="150">
        <v>4.3200000000000002E-2</v>
      </c>
      <c r="L115" s="151">
        <f t="shared" si="32"/>
        <v>86.909760000000006</v>
      </c>
      <c r="M115" s="57">
        <f>IF(VLOOKUP(E115,'HOURLY RATES'!C$6:D$105,2,0)=0,$E$3,VLOOKUP(E115,'HOURLY RATES'!C$6:D$105,2,0))</f>
        <v>102</v>
      </c>
      <c r="N115" s="152">
        <f t="shared" si="33"/>
        <v>8864.7955199999997</v>
      </c>
      <c r="O115" s="107">
        <v>2.6</v>
      </c>
      <c r="P115" s="107">
        <f t="shared" si="28"/>
        <v>5230.68</v>
      </c>
      <c r="Q115" s="153">
        <f t="shared" si="29"/>
        <v>14095.47552</v>
      </c>
      <c r="R115" s="116"/>
      <c r="S115" s="129">
        <f t="shared" si="34"/>
        <v>9.0656024199999976</v>
      </c>
      <c r="T115" s="130">
        <f t="shared" si="35"/>
        <v>18238.178948555997</v>
      </c>
    </row>
    <row r="116" spans="1:20" s="7" customFormat="1" x14ac:dyDescent="0.25">
      <c r="A116" s="110">
        <f>IF(J116&lt;&gt;"",1+MAX($A$17:A115),"")</f>
        <v>80</v>
      </c>
      <c r="B116" s="104" t="s">
        <v>744</v>
      </c>
      <c r="C116" s="104" t="s">
        <v>745</v>
      </c>
      <c r="D116" s="102" t="s">
        <v>50</v>
      </c>
      <c r="E116" s="117" t="s">
        <v>168</v>
      </c>
      <c r="F116" s="240" t="s">
        <v>887</v>
      </c>
      <c r="G116" s="103">
        <f>4*27*47.9</f>
        <v>5173.2</v>
      </c>
      <c r="H116" s="51">
        <f>IF(VLOOKUP(J116,'HOURLY RATES'!B$116:C$124,2,0)=0,$J$3,VLOOKUP(J116,'HOURLY RATES'!B$116:C$124,2,0))</f>
        <v>0.05</v>
      </c>
      <c r="I116" s="52">
        <f t="shared" si="26"/>
        <v>5431.86</v>
      </c>
      <c r="J116" s="101" t="s">
        <v>253</v>
      </c>
      <c r="K116" s="150">
        <v>4.3200000000000002E-2</v>
      </c>
      <c r="L116" s="151">
        <f t="shared" si="32"/>
        <v>234.656352</v>
      </c>
      <c r="M116" s="57">
        <f>IF(VLOOKUP(E116,'HOURLY RATES'!C$6:D$105,2,0)=0,$E$3,VLOOKUP(E116,'HOURLY RATES'!C$6:D$105,2,0))</f>
        <v>102</v>
      </c>
      <c r="N116" s="152">
        <f t="shared" si="33"/>
        <v>23934.947904000001</v>
      </c>
      <c r="O116" s="107">
        <v>2.6</v>
      </c>
      <c r="P116" s="107">
        <f t="shared" si="28"/>
        <v>14122.835999999999</v>
      </c>
      <c r="Q116" s="153">
        <f t="shared" si="29"/>
        <v>38057.783903999996</v>
      </c>
      <c r="R116" s="116"/>
      <c r="S116" s="129">
        <f t="shared" si="34"/>
        <v>9.0656024199999994</v>
      </c>
      <c r="T116" s="130">
        <f t="shared" si="35"/>
        <v>49243.083161101196</v>
      </c>
    </row>
    <row r="117" spans="1:20" s="7" customFormat="1" x14ac:dyDescent="0.25">
      <c r="A117" s="110">
        <f>IF(J117&lt;&gt;"",1+MAX($A$17:A116),"")</f>
        <v>81</v>
      </c>
      <c r="B117" s="104" t="s">
        <v>744</v>
      </c>
      <c r="C117" s="104" t="s">
        <v>745</v>
      </c>
      <c r="D117" s="102" t="s">
        <v>50</v>
      </c>
      <c r="E117" s="117" t="s">
        <v>168</v>
      </c>
      <c r="F117" s="240" t="s">
        <v>888</v>
      </c>
      <c r="G117" s="103">
        <f>2*32*47.9</f>
        <v>3065.6</v>
      </c>
      <c r="H117" s="51">
        <f>IF(VLOOKUP(J117,'HOURLY RATES'!B$116:C$124,2,0)=0,$J$3,VLOOKUP(J117,'HOURLY RATES'!B$116:C$124,2,0))</f>
        <v>0.05</v>
      </c>
      <c r="I117" s="52">
        <f t="shared" si="26"/>
        <v>3218.88</v>
      </c>
      <c r="J117" s="101" t="s">
        <v>253</v>
      </c>
      <c r="K117" s="150">
        <v>4.3200000000000002E-2</v>
      </c>
      <c r="L117" s="151">
        <f t="shared" si="32"/>
        <v>139.05561600000001</v>
      </c>
      <c r="M117" s="57">
        <f>IF(VLOOKUP(E117,'HOURLY RATES'!C$6:D$105,2,0)=0,$E$3,VLOOKUP(E117,'HOURLY RATES'!C$6:D$105,2,0))</f>
        <v>102</v>
      </c>
      <c r="N117" s="152">
        <f t="shared" si="33"/>
        <v>14183.672832000002</v>
      </c>
      <c r="O117" s="107">
        <v>2.6</v>
      </c>
      <c r="P117" s="107">
        <f t="shared" si="28"/>
        <v>8369.0879999999997</v>
      </c>
      <c r="Q117" s="153">
        <f t="shared" si="29"/>
        <v>22552.760832</v>
      </c>
      <c r="R117" s="116"/>
      <c r="S117" s="129">
        <f t="shared" si="34"/>
        <v>9.0656024199999994</v>
      </c>
      <c r="T117" s="130">
        <f t="shared" si="35"/>
        <v>29181.086317689598</v>
      </c>
    </row>
    <row r="118" spans="1:20" s="7" customFormat="1" x14ac:dyDescent="0.25">
      <c r="A118" s="110">
        <f>IF(J118&lt;&gt;"",1+MAX($A$17:A117),"")</f>
        <v>82</v>
      </c>
      <c r="B118" s="104" t="s">
        <v>744</v>
      </c>
      <c r="C118" s="104" t="s">
        <v>745</v>
      </c>
      <c r="D118" s="102" t="s">
        <v>50</v>
      </c>
      <c r="E118" s="117" t="s">
        <v>168</v>
      </c>
      <c r="F118" s="240" t="s">
        <v>889</v>
      </c>
      <c r="G118" s="103">
        <f>1*33*47.9</f>
        <v>1580.7</v>
      </c>
      <c r="H118" s="51">
        <f>IF(VLOOKUP(J118,'HOURLY RATES'!B$116:C$124,2,0)=0,$J$3,VLOOKUP(J118,'HOURLY RATES'!B$116:C$124,2,0))</f>
        <v>0.05</v>
      </c>
      <c r="I118" s="52">
        <f t="shared" si="26"/>
        <v>1659.7350000000001</v>
      </c>
      <c r="J118" s="101" t="s">
        <v>253</v>
      </c>
      <c r="K118" s="150">
        <v>4.3200000000000002E-2</v>
      </c>
      <c r="L118" s="151">
        <f t="shared" si="32"/>
        <v>71.700552000000016</v>
      </c>
      <c r="M118" s="57">
        <f>IF(VLOOKUP(E118,'HOURLY RATES'!C$6:D$105,2,0)=0,$E$3,VLOOKUP(E118,'HOURLY RATES'!C$6:D$105,2,0))</f>
        <v>102</v>
      </c>
      <c r="N118" s="152">
        <f t="shared" si="33"/>
        <v>7313.4563040000012</v>
      </c>
      <c r="O118" s="107">
        <v>2.6</v>
      </c>
      <c r="P118" s="107">
        <f t="shared" si="28"/>
        <v>4315.3110000000006</v>
      </c>
      <c r="Q118" s="153">
        <f t="shared" si="29"/>
        <v>11628.767304000001</v>
      </c>
      <c r="R118" s="116"/>
      <c r="S118" s="129">
        <f t="shared" si="34"/>
        <v>9.0656024199999994</v>
      </c>
      <c r="T118" s="130">
        <f t="shared" si="35"/>
        <v>15046.497632558699</v>
      </c>
    </row>
    <row r="119" spans="1:20" s="7" customFormat="1" x14ac:dyDescent="0.25">
      <c r="A119" s="110">
        <f>IF(J119&lt;&gt;"",1+MAX($A$17:A118),"")</f>
        <v>83</v>
      </c>
      <c r="B119" s="104" t="s">
        <v>744</v>
      </c>
      <c r="C119" s="104" t="s">
        <v>745</v>
      </c>
      <c r="D119" s="102" t="s">
        <v>50</v>
      </c>
      <c r="E119" s="117" t="s">
        <v>168</v>
      </c>
      <c r="F119" s="240" t="s">
        <v>890</v>
      </c>
      <c r="G119" s="103">
        <f>2*34*49.6</f>
        <v>3372.8</v>
      </c>
      <c r="H119" s="51">
        <f>IF(VLOOKUP(J119,'HOURLY RATES'!B$116:C$124,2,0)=0,$J$3,VLOOKUP(J119,'HOURLY RATES'!B$116:C$124,2,0))</f>
        <v>0.05</v>
      </c>
      <c r="I119" s="52">
        <f t="shared" si="26"/>
        <v>3541.4400000000005</v>
      </c>
      <c r="J119" s="101" t="s">
        <v>253</v>
      </c>
      <c r="K119" s="150">
        <v>4.3200000000000002E-2</v>
      </c>
      <c r="L119" s="151">
        <f t="shared" si="32"/>
        <v>152.99020800000002</v>
      </c>
      <c r="M119" s="57">
        <f>IF(VLOOKUP(E119,'HOURLY RATES'!C$6:D$105,2,0)=0,$E$3,VLOOKUP(E119,'HOURLY RATES'!C$6:D$105,2,0))</f>
        <v>102</v>
      </c>
      <c r="N119" s="152">
        <f t="shared" si="33"/>
        <v>15605.001216000002</v>
      </c>
      <c r="O119" s="107">
        <v>2.6</v>
      </c>
      <c r="P119" s="107">
        <f t="shared" si="28"/>
        <v>9207.7440000000024</v>
      </c>
      <c r="Q119" s="153">
        <f t="shared" si="29"/>
        <v>24812.745216000003</v>
      </c>
      <c r="R119" s="116"/>
      <c r="S119" s="129">
        <f t="shared" si="34"/>
        <v>9.0656024199999994</v>
      </c>
      <c r="T119" s="130">
        <f t="shared" si="35"/>
        <v>32105.287034284804</v>
      </c>
    </row>
    <row r="120" spans="1:20" s="7" customFormat="1" x14ac:dyDescent="0.25">
      <c r="A120" s="110">
        <f>IF(J120&lt;&gt;"",1+MAX($A$17:A119),"")</f>
        <v>84</v>
      </c>
      <c r="B120" s="104" t="s">
        <v>744</v>
      </c>
      <c r="C120" s="104" t="s">
        <v>745</v>
      </c>
      <c r="D120" s="102" t="s">
        <v>50</v>
      </c>
      <c r="E120" s="117" t="s">
        <v>168</v>
      </c>
      <c r="F120" s="240" t="s">
        <v>891</v>
      </c>
      <c r="G120" s="103">
        <f>1*34*49.6</f>
        <v>1686.4</v>
      </c>
      <c r="H120" s="51">
        <f>IF(VLOOKUP(J120,'HOURLY RATES'!B$116:C$124,2,0)=0,$J$3,VLOOKUP(J120,'HOURLY RATES'!B$116:C$124,2,0))</f>
        <v>0.05</v>
      </c>
      <c r="I120" s="52">
        <f t="shared" si="26"/>
        <v>1770.7200000000003</v>
      </c>
      <c r="J120" s="101" t="s">
        <v>253</v>
      </c>
      <c r="K120" s="150">
        <v>4.3200000000000002E-2</v>
      </c>
      <c r="L120" s="151">
        <f t="shared" si="32"/>
        <v>76.495104000000012</v>
      </c>
      <c r="M120" s="57">
        <f>IF(VLOOKUP(E120,'HOURLY RATES'!C$6:D$105,2,0)=0,$E$3,VLOOKUP(E120,'HOURLY RATES'!C$6:D$105,2,0))</f>
        <v>102</v>
      </c>
      <c r="N120" s="152">
        <f t="shared" si="33"/>
        <v>7802.5006080000012</v>
      </c>
      <c r="O120" s="107">
        <v>2.6</v>
      </c>
      <c r="P120" s="107">
        <f t="shared" si="28"/>
        <v>4603.8720000000012</v>
      </c>
      <c r="Q120" s="153">
        <f t="shared" si="29"/>
        <v>12406.372608000001</v>
      </c>
      <c r="R120" s="116"/>
      <c r="S120" s="129">
        <f t="shared" si="34"/>
        <v>9.0656024199999994</v>
      </c>
      <c r="T120" s="130">
        <f t="shared" si="35"/>
        <v>16052.643517142402</v>
      </c>
    </row>
    <row r="121" spans="1:20" s="7" customFormat="1" x14ac:dyDescent="0.25">
      <c r="A121" s="110">
        <f>IF(J121&lt;&gt;"",1+MAX($A$17:A120),"")</f>
        <v>85</v>
      </c>
      <c r="B121" s="104" t="s">
        <v>744</v>
      </c>
      <c r="C121" s="104" t="s">
        <v>745</v>
      </c>
      <c r="D121" s="102" t="s">
        <v>50</v>
      </c>
      <c r="E121" s="117" t="s">
        <v>168</v>
      </c>
      <c r="F121" s="240" t="s">
        <v>892</v>
      </c>
      <c r="G121" s="103">
        <f>1*52*49.6</f>
        <v>2579.2000000000003</v>
      </c>
      <c r="H121" s="51">
        <f>IF(VLOOKUP(J121,'HOURLY RATES'!B$116:C$124,2,0)=0,$J$3,VLOOKUP(J121,'HOURLY RATES'!B$116:C$124,2,0))</f>
        <v>0.05</v>
      </c>
      <c r="I121" s="52">
        <f t="shared" si="26"/>
        <v>2708.1600000000003</v>
      </c>
      <c r="J121" s="101" t="s">
        <v>253</v>
      </c>
      <c r="K121" s="150">
        <v>4.3200000000000002E-2</v>
      </c>
      <c r="L121" s="151">
        <f t="shared" si="32"/>
        <v>116.99251200000002</v>
      </c>
      <c r="M121" s="57">
        <f>IF(VLOOKUP(E121,'HOURLY RATES'!C$6:D$105,2,0)=0,$E$3,VLOOKUP(E121,'HOURLY RATES'!C$6:D$105,2,0))</f>
        <v>102</v>
      </c>
      <c r="N121" s="152">
        <f t="shared" si="33"/>
        <v>11933.236224000002</v>
      </c>
      <c r="O121" s="107">
        <v>2.6</v>
      </c>
      <c r="P121" s="107">
        <f t="shared" si="28"/>
        <v>7041.2160000000013</v>
      </c>
      <c r="Q121" s="153">
        <f t="shared" si="29"/>
        <v>18974.452224000004</v>
      </c>
      <c r="R121" s="116"/>
      <c r="S121" s="129">
        <f t="shared" si="34"/>
        <v>9.0656024199999994</v>
      </c>
      <c r="T121" s="130">
        <f t="shared" si="35"/>
        <v>24551.1018497472</v>
      </c>
    </row>
    <row r="122" spans="1:20" s="7" customFormat="1" x14ac:dyDescent="0.25">
      <c r="A122" s="110">
        <f>IF(J122&lt;&gt;"",1+MAX($A$17:A121),"")</f>
        <v>86</v>
      </c>
      <c r="B122" s="104" t="s">
        <v>744</v>
      </c>
      <c r="C122" s="104" t="s">
        <v>745</v>
      </c>
      <c r="D122" s="102" t="s">
        <v>50</v>
      </c>
      <c r="E122" s="117" t="s">
        <v>168</v>
      </c>
      <c r="F122" s="240" t="s">
        <v>893</v>
      </c>
      <c r="G122" s="103">
        <f>1*18*17.2</f>
        <v>309.59999999999997</v>
      </c>
      <c r="H122" s="51">
        <f>IF(VLOOKUP(J122,'HOURLY RATES'!B$116:C$124,2,0)=0,$J$3,VLOOKUP(J122,'HOURLY RATES'!B$116:C$124,2,0))</f>
        <v>0.05</v>
      </c>
      <c r="I122" s="52">
        <f t="shared" si="26"/>
        <v>325.08</v>
      </c>
      <c r="J122" s="101" t="s">
        <v>253</v>
      </c>
      <c r="K122" s="150">
        <v>4.3200000000000002E-2</v>
      </c>
      <c r="L122" s="151">
        <f t="shared" si="32"/>
        <v>14.043456000000001</v>
      </c>
      <c r="M122" s="57">
        <f>IF(VLOOKUP(E122,'HOURLY RATES'!C$6:D$105,2,0)=0,$E$3,VLOOKUP(E122,'HOURLY RATES'!C$6:D$105,2,0))</f>
        <v>102</v>
      </c>
      <c r="N122" s="152">
        <f t="shared" si="33"/>
        <v>1432.4325120000001</v>
      </c>
      <c r="O122" s="107">
        <v>2.6</v>
      </c>
      <c r="P122" s="107">
        <f t="shared" si="28"/>
        <v>845.20799999999997</v>
      </c>
      <c r="Q122" s="153">
        <f t="shared" si="29"/>
        <v>2277.6405119999999</v>
      </c>
      <c r="R122" s="116"/>
      <c r="S122" s="129">
        <f t="shared" si="34"/>
        <v>9.0656024199999994</v>
      </c>
      <c r="T122" s="130">
        <f t="shared" si="35"/>
        <v>2947.0460346935997</v>
      </c>
    </row>
    <row r="123" spans="1:20" s="7" customFormat="1" x14ac:dyDescent="0.25">
      <c r="A123" s="110">
        <f>IF(J123&lt;&gt;"",1+MAX($A$17:A122),"")</f>
        <v>87</v>
      </c>
      <c r="B123" s="104" t="s">
        <v>744</v>
      </c>
      <c r="C123" s="104" t="s">
        <v>745</v>
      </c>
      <c r="D123" s="102" t="s">
        <v>50</v>
      </c>
      <c r="E123" s="117" t="s">
        <v>168</v>
      </c>
      <c r="F123" s="240" t="s">
        <v>894</v>
      </c>
      <c r="G123" s="103">
        <f>1*32*17.2</f>
        <v>550.4</v>
      </c>
      <c r="H123" s="51">
        <f>IF(VLOOKUP(J123,'HOURLY RATES'!B$116:C$124,2,0)=0,$J$3,VLOOKUP(J123,'HOURLY RATES'!B$116:C$124,2,0))</f>
        <v>0.05</v>
      </c>
      <c r="I123" s="52">
        <f t="shared" si="26"/>
        <v>577.91999999999996</v>
      </c>
      <c r="J123" s="101" t="s">
        <v>253</v>
      </c>
      <c r="K123" s="150">
        <v>4.3200000000000002E-2</v>
      </c>
      <c r="L123" s="151">
        <f t="shared" si="32"/>
        <v>24.966144</v>
      </c>
      <c r="M123" s="57">
        <f>IF(VLOOKUP(E123,'HOURLY RATES'!C$6:D$105,2,0)=0,$E$3,VLOOKUP(E123,'HOURLY RATES'!C$6:D$105,2,0))</f>
        <v>102</v>
      </c>
      <c r="N123" s="152">
        <f t="shared" si="33"/>
        <v>2546.5466879999999</v>
      </c>
      <c r="O123" s="107">
        <v>2.6</v>
      </c>
      <c r="P123" s="107">
        <f t="shared" si="28"/>
        <v>1502.5919999999999</v>
      </c>
      <c r="Q123" s="153">
        <f t="shared" si="29"/>
        <v>4049.138688</v>
      </c>
      <c r="R123" s="116"/>
      <c r="S123" s="129">
        <f t="shared" si="34"/>
        <v>9.0656024199999994</v>
      </c>
      <c r="T123" s="130">
        <f t="shared" si="35"/>
        <v>5239.1929505663993</v>
      </c>
    </row>
    <row r="124" spans="1:20" s="7" customFormat="1" x14ac:dyDescent="0.25">
      <c r="A124" s="110">
        <f>IF(J124&lt;&gt;"",1+MAX($A$17:A123),"")</f>
        <v>88</v>
      </c>
      <c r="B124" s="104" t="s">
        <v>744</v>
      </c>
      <c r="C124" s="104" t="s">
        <v>745</v>
      </c>
      <c r="D124" s="102" t="s">
        <v>50</v>
      </c>
      <c r="E124" s="117" t="s">
        <v>168</v>
      </c>
      <c r="F124" s="240" t="s">
        <v>895</v>
      </c>
      <c r="G124" s="103">
        <f>4*40*18</f>
        <v>2880</v>
      </c>
      <c r="H124" s="51">
        <f>IF(VLOOKUP(J124,'HOURLY RATES'!B$116:C$124,2,0)=0,$J$3,VLOOKUP(J124,'HOURLY RATES'!B$116:C$124,2,0))</f>
        <v>0.05</v>
      </c>
      <c r="I124" s="52">
        <f t="shared" si="26"/>
        <v>3024</v>
      </c>
      <c r="J124" s="101" t="s">
        <v>253</v>
      </c>
      <c r="K124" s="150">
        <v>4.3200000000000002E-2</v>
      </c>
      <c r="L124" s="151">
        <f t="shared" si="32"/>
        <v>130.63679999999999</v>
      </c>
      <c r="M124" s="57">
        <f>IF(VLOOKUP(E124,'HOURLY RATES'!C$6:D$105,2,0)=0,$E$3,VLOOKUP(E124,'HOURLY RATES'!C$6:D$105,2,0))</f>
        <v>102</v>
      </c>
      <c r="N124" s="152">
        <f t="shared" si="33"/>
        <v>13324.953599999999</v>
      </c>
      <c r="O124" s="107">
        <v>2.6</v>
      </c>
      <c r="P124" s="107">
        <f t="shared" si="28"/>
        <v>7862.4000000000005</v>
      </c>
      <c r="Q124" s="153">
        <f t="shared" si="29"/>
        <v>21187.353599999999</v>
      </c>
      <c r="R124" s="116"/>
      <c r="S124" s="129">
        <f t="shared" si="34"/>
        <v>9.0656024199999994</v>
      </c>
      <c r="T124" s="130">
        <f t="shared" si="35"/>
        <v>27414.38171808</v>
      </c>
    </row>
    <row r="125" spans="1:20" s="7" customFormat="1" x14ac:dyDescent="0.25">
      <c r="A125" s="110">
        <f>IF(J125&lt;&gt;"",1+MAX($A$17:A124),"")</f>
        <v>89</v>
      </c>
      <c r="B125" s="104" t="s">
        <v>744</v>
      </c>
      <c r="C125" s="104" t="s">
        <v>745</v>
      </c>
      <c r="D125" s="102" t="s">
        <v>50</v>
      </c>
      <c r="E125" s="117" t="s">
        <v>168</v>
      </c>
      <c r="F125" s="240" t="s">
        <v>896</v>
      </c>
      <c r="G125" s="103">
        <f>2*14*30</f>
        <v>840</v>
      </c>
      <c r="H125" s="51">
        <f>IF(VLOOKUP(J125,'HOURLY RATES'!B$116:C$124,2,0)=0,$J$3,VLOOKUP(J125,'HOURLY RATES'!B$116:C$124,2,0))</f>
        <v>0.05</v>
      </c>
      <c r="I125" s="52">
        <f t="shared" si="26"/>
        <v>882</v>
      </c>
      <c r="J125" s="101" t="s">
        <v>253</v>
      </c>
      <c r="K125" s="150">
        <v>4.3200000000000002E-2</v>
      </c>
      <c r="L125" s="151">
        <f t="shared" si="32"/>
        <v>38.102400000000003</v>
      </c>
      <c r="M125" s="57">
        <f>IF(VLOOKUP(E125,'HOURLY RATES'!C$6:D$105,2,0)=0,$E$3,VLOOKUP(E125,'HOURLY RATES'!C$6:D$105,2,0))</f>
        <v>102</v>
      </c>
      <c r="N125" s="152">
        <f t="shared" si="33"/>
        <v>3886.4448000000002</v>
      </c>
      <c r="O125" s="107">
        <v>2.6</v>
      </c>
      <c r="P125" s="107">
        <f t="shared" si="28"/>
        <v>2293.2000000000003</v>
      </c>
      <c r="Q125" s="153">
        <f t="shared" si="29"/>
        <v>6179.6448</v>
      </c>
      <c r="R125" s="116"/>
      <c r="S125" s="129">
        <f t="shared" si="34"/>
        <v>9.0656024199999994</v>
      </c>
      <c r="T125" s="130">
        <f t="shared" si="35"/>
        <v>7995.8613344399992</v>
      </c>
    </row>
    <row r="126" spans="1:20" s="7" customFormat="1" x14ac:dyDescent="0.25">
      <c r="A126" s="110">
        <f>IF(J126&lt;&gt;"",1+MAX($A$17:A125),"")</f>
        <v>90</v>
      </c>
      <c r="B126" s="104" t="s">
        <v>744</v>
      </c>
      <c r="C126" s="104" t="s">
        <v>745</v>
      </c>
      <c r="D126" s="102" t="s">
        <v>50</v>
      </c>
      <c r="E126" s="117" t="s">
        <v>168</v>
      </c>
      <c r="F126" s="240" t="s">
        <v>897</v>
      </c>
      <c r="G126" s="103">
        <f>2*23*30</f>
        <v>1380</v>
      </c>
      <c r="H126" s="51">
        <f>IF(VLOOKUP(J126,'HOURLY RATES'!B$116:C$124,2,0)=0,$J$3,VLOOKUP(J126,'HOURLY RATES'!B$116:C$124,2,0))</f>
        <v>0.05</v>
      </c>
      <c r="I126" s="52">
        <f t="shared" si="26"/>
        <v>1449</v>
      </c>
      <c r="J126" s="101" t="s">
        <v>253</v>
      </c>
      <c r="K126" s="150">
        <v>4.3200000000000002E-2</v>
      </c>
      <c r="L126" s="151">
        <f t="shared" si="32"/>
        <v>62.596800000000002</v>
      </c>
      <c r="M126" s="57">
        <f>IF(VLOOKUP(E126,'HOURLY RATES'!C$6:D$105,2,0)=0,$E$3,VLOOKUP(E126,'HOURLY RATES'!C$6:D$105,2,0))</f>
        <v>102</v>
      </c>
      <c r="N126" s="152">
        <f t="shared" si="33"/>
        <v>6384.8735999999999</v>
      </c>
      <c r="O126" s="107">
        <v>2.6</v>
      </c>
      <c r="P126" s="107">
        <f t="shared" si="28"/>
        <v>3767.4</v>
      </c>
      <c r="Q126" s="153">
        <f t="shared" si="29"/>
        <v>10152.2736</v>
      </c>
      <c r="R126" s="116"/>
      <c r="S126" s="129">
        <f t="shared" si="34"/>
        <v>9.0656024199999994</v>
      </c>
      <c r="T126" s="130">
        <f t="shared" si="35"/>
        <v>13136.057906579999</v>
      </c>
    </row>
    <row r="127" spans="1:20" s="7" customFormat="1" x14ac:dyDescent="0.25">
      <c r="A127" s="110">
        <f>IF(J127&lt;&gt;"",1+MAX($A$17:A126),"")</f>
        <v>91</v>
      </c>
      <c r="B127" s="104" t="s">
        <v>744</v>
      </c>
      <c r="C127" s="104" t="s">
        <v>745</v>
      </c>
      <c r="D127" s="102" t="s">
        <v>50</v>
      </c>
      <c r="E127" s="117" t="s">
        <v>168</v>
      </c>
      <c r="F127" s="240" t="s">
        <v>898</v>
      </c>
      <c r="G127" s="103">
        <f>3*29*30</f>
        <v>2610</v>
      </c>
      <c r="H127" s="51">
        <f>IF(VLOOKUP(J127,'HOURLY RATES'!B$116:C$124,2,0)=0,$J$3,VLOOKUP(J127,'HOURLY RATES'!B$116:C$124,2,0))</f>
        <v>0.05</v>
      </c>
      <c r="I127" s="52">
        <f t="shared" si="26"/>
        <v>2740.5</v>
      </c>
      <c r="J127" s="101" t="s">
        <v>253</v>
      </c>
      <c r="K127" s="150">
        <v>4.3200000000000002E-2</v>
      </c>
      <c r="L127" s="151">
        <f t="shared" si="32"/>
        <v>118.3896</v>
      </c>
      <c r="M127" s="57">
        <f>IF(VLOOKUP(E127,'HOURLY RATES'!C$6:D$105,2,0)=0,$E$3,VLOOKUP(E127,'HOURLY RATES'!C$6:D$105,2,0))</f>
        <v>102</v>
      </c>
      <c r="N127" s="152">
        <f t="shared" si="33"/>
        <v>12075.7392</v>
      </c>
      <c r="O127" s="107">
        <v>2.6</v>
      </c>
      <c r="P127" s="107">
        <f t="shared" si="28"/>
        <v>7125.3</v>
      </c>
      <c r="Q127" s="153">
        <f t="shared" si="29"/>
        <v>19201.039199999999</v>
      </c>
      <c r="R127" s="116"/>
      <c r="S127" s="129">
        <f t="shared" si="34"/>
        <v>9.0656024199999994</v>
      </c>
      <c r="T127" s="130">
        <f t="shared" si="35"/>
        <v>24844.283432009997</v>
      </c>
    </row>
    <row r="128" spans="1:20" s="7" customFormat="1" x14ac:dyDescent="0.25">
      <c r="A128" s="110">
        <f>IF(J128&lt;&gt;"",1+MAX($A$17:A127),"")</f>
        <v>92</v>
      </c>
      <c r="B128" s="104" t="s">
        <v>744</v>
      </c>
      <c r="C128" s="104" t="s">
        <v>745</v>
      </c>
      <c r="D128" s="102" t="s">
        <v>50</v>
      </c>
      <c r="E128" s="117" t="s">
        <v>168</v>
      </c>
      <c r="F128" s="240" t="s">
        <v>899</v>
      </c>
      <c r="G128" s="103">
        <f>2*42*30</f>
        <v>2520</v>
      </c>
      <c r="H128" s="51">
        <f>IF(VLOOKUP(J128,'HOURLY RATES'!B$116:C$124,2,0)=0,$J$3,VLOOKUP(J128,'HOURLY RATES'!B$116:C$124,2,0))</f>
        <v>0.05</v>
      </c>
      <c r="I128" s="52">
        <f t="shared" si="26"/>
        <v>2646</v>
      </c>
      <c r="J128" s="101" t="s">
        <v>253</v>
      </c>
      <c r="K128" s="150">
        <v>4.3200000000000002E-2</v>
      </c>
      <c r="L128" s="151">
        <f t="shared" si="32"/>
        <v>114.30720000000001</v>
      </c>
      <c r="M128" s="57">
        <f>IF(VLOOKUP(E128,'HOURLY RATES'!C$6:D$105,2,0)=0,$E$3,VLOOKUP(E128,'HOURLY RATES'!C$6:D$105,2,0))</f>
        <v>102</v>
      </c>
      <c r="N128" s="152">
        <f t="shared" si="33"/>
        <v>11659.334400000002</v>
      </c>
      <c r="O128" s="107">
        <v>2.6</v>
      </c>
      <c r="P128" s="107">
        <f t="shared" si="28"/>
        <v>6879.6</v>
      </c>
      <c r="Q128" s="153">
        <f t="shared" si="29"/>
        <v>18538.934400000002</v>
      </c>
      <c r="R128" s="116"/>
      <c r="S128" s="129">
        <f t="shared" si="34"/>
        <v>9.0656024199999994</v>
      </c>
      <c r="T128" s="130">
        <f t="shared" si="35"/>
        <v>23987.584003319997</v>
      </c>
    </row>
    <row r="129" spans="1:20" s="7" customFormat="1" x14ac:dyDescent="0.25">
      <c r="A129" s="110">
        <f>IF(J129&lt;&gt;"",1+MAX($A$17:A128),"")</f>
        <v>93</v>
      </c>
      <c r="B129" s="104" t="s">
        <v>744</v>
      </c>
      <c r="C129" s="104" t="s">
        <v>745</v>
      </c>
      <c r="D129" s="102" t="s">
        <v>50</v>
      </c>
      <c r="E129" s="117" t="s">
        <v>168</v>
      </c>
      <c r="F129" s="240" t="s">
        <v>746</v>
      </c>
      <c r="G129" s="103">
        <f>1*21*77</f>
        <v>1617</v>
      </c>
      <c r="H129" s="51">
        <f>IF(VLOOKUP(J129,'HOURLY RATES'!B$116:C$124,2,0)=0,$J$3,VLOOKUP(J129,'HOURLY RATES'!B$116:C$124,2,0))</f>
        <v>0.05</v>
      </c>
      <c r="I129" s="52">
        <f t="shared" si="26"/>
        <v>1697.8500000000001</v>
      </c>
      <c r="J129" s="101" t="s">
        <v>253</v>
      </c>
      <c r="K129" s="150">
        <v>4.0500000000000001E-2</v>
      </c>
      <c r="L129" s="151">
        <f t="shared" ref="L129" si="36">K129*I129</f>
        <v>68.76292500000001</v>
      </c>
      <c r="M129" s="57">
        <f>IF(VLOOKUP(E129,'HOURLY RATES'!C$6:D$105,2,0)=0,$E$3,VLOOKUP(E129,'HOURLY RATES'!C$6:D$105,2,0))</f>
        <v>102</v>
      </c>
      <c r="N129" s="152">
        <f t="shared" si="27"/>
        <v>7013.8183500000014</v>
      </c>
      <c r="O129" s="107">
        <v>2.6</v>
      </c>
      <c r="P129" s="107">
        <f t="shared" si="28"/>
        <v>4414.4100000000008</v>
      </c>
      <c r="Q129" s="153">
        <f t="shared" si="29"/>
        <v>11428.228350000001</v>
      </c>
      <c r="R129" s="116"/>
      <c r="S129" s="129">
        <f t="shared" si="34"/>
        <v>8.7161886699999993</v>
      </c>
      <c r="T129" s="130">
        <f t="shared" si="35"/>
        <v>14798.7809333595</v>
      </c>
    </row>
    <row r="130" spans="1:20" s="7" customFormat="1" x14ac:dyDescent="0.25">
      <c r="A130" s="110">
        <f>IF(J130&lt;&gt;"",1+MAX($A$17:A129),"")</f>
        <v>94</v>
      </c>
      <c r="B130" s="104" t="s">
        <v>744</v>
      </c>
      <c r="C130" s="104" t="s">
        <v>745</v>
      </c>
      <c r="D130" s="102" t="s">
        <v>50</v>
      </c>
      <c r="E130" s="117" t="s">
        <v>168</v>
      </c>
      <c r="F130" s="240" t="s">
        <v>747</v>
      </c>
      <c r="G130" s="103">
        <f>1*22*77</f>
        <v>1694</v>
      </c>
      <c r="H130" s="51">
        <f>IF(VLOOKUP(J130,'HOURLY RATES'!B$116:C$124,2,0)=0,$J$3,VLOOKUP(J130,'HOURLY RATES'!B$116:C$124,2,0))</f>
        <v>0.05</v>
      </c>
      <c r="I130" s="52">
        <f t="shared" si="26"/>
        <v>1778.7</v>
      </c>
      <c r="J130" s="101" t="s">
        <v>253</v>
      </c>
      <c r="K130" s="150">
        <v>4.0500000000000001E-2</v>
      </c>
      <c r="L130" s="151">
        <f t="shared" ref="L130:L140" si="37">K130*I130</f>
        <v>72.037350000000004</v>
      </c>
      <c r="M130" s="57">
        <f>IF(VLOOKUP(E130,'HOURLY RATES'!C$6:D$105,2,0)=0,$E$3,VLOOKUP(E130,'HOURLY RATES'!C$6:D$105,2,0))</f>
        <v>102</v>
      </c>
      <c r="N130" s="152">
        <f t="shared" ref="N130:N140" si="38">M130*L130</f>
        <v>7347.8097000000007</v>
      </c>
      <c r="O130" s="107">
        <v>2.6</v>
      </c>
      <c r="P130" s="107">
        <f t="shared" si="28"/>
        <v>4624.62</v>
      </c>
      <c r="Q130" s="153">
        <f t="shared" si="29"/>
        <v>11972.429700000001</v>
      </c>
      <c r="R130" s="116"/>
      <c r="S130" s="129">
        <f t="shared" si="34"/>
        <v>8.7161886699999993</v>
      </c>
      <c r="T130" s="130">
        <f t="shared" si="35"/>
        <v>15503.484787329</v>
      </c>
    </row>
    <row r="131" spans="1:20" s="7" customFormat="1" x14ac:dyDescent="0.25">
      <c r="A131" s="110">
        <f>IF(J131&lt;&gt;"",1+MAX($A$17:A130),"")</f>
        <v>95</v>
      </c>
      <c r="B131" s="104" t="s">
        <v>744</v>
      </c>
      <c r="C131" s="104" t="s">
        <v>745</v>
      </c>
      <c r="D131" s="102" t="s">
        <v>50</v>
      </c>
      <c r="E131" s="117" t="s">
        <v>168</v>
      </c>
      <c r="F131" s="240" t="s">
        <v>748</v>
      </c>
      <c r="G131" s="103">
        <f>2*24*77</f>
        <v>3696</v>
      </c>
      <c r="H131" s="51">
        <f>IF(VLOOKUP(J131,'HOURLY RATES'!B$116:C$124,2,0)=0,$J$3,VLOOKUP(J131,'HOURLY RATES'!B$116:C$124,2,0))</f>
        <v>0.05</v>
      </c>
      <c r="I131" s="52">
        <f t="shared" si="26"/>
        <v>3880.8</v>
      </c>
      <c r="J131" s="101" t="s">
        <v>253</v>
      </c>
      <c r="K131" s="150">
        <v>4.0500000000000001E-2</v>
      </c>
      <c r="L131" s="151">
        <f t="shared" si="37"/>
        <v>157.17240000000001</v>
      </c>
      <c r="M131" s="57">
        <f>IF(VLOOKUP(E131,'HOURLY RATES'!C$6:D$105,2,0)=0,$E$3,VLOOKUP(E131,'HOURLY RATES'!C$6:D$105,2,0))</f>
        <v>102</v>
      </c>
      <c r="N131" s="152">
        <f t="shared" si="38"/>
        <v>16031.584800000001</v>
      </c>
      <c r="O131" s="107">
        <v>2.6</v>
      </c>
      <c r="P131" s="107">
        <f t="shared" si="28"/>
        <v>10090.08</v>
      </c>
      <c r="Q131" s="153">
        <f t="shared" si="29"/>
        <v>26121.664799999999</v>
      </c>
      <c r="R131" s="116"/>
      <c r="S131" s="129">
        <f t="shared" si="34"/>
        <v>8.7161886699999993</v>
      </c>
      <c r="T131" s="130">
        <f t="shared" si="35"/>
        <v>33825.784990535998</v>
      </c>
    </row>
    <row r="132" spans="1:20" s="7" customFormat="1" x14ac:dyDescent="0.25">
      <c r="A132" s="110">
        <f>IF(J132&lt;&gt;"",1+MAX($A$17:A131),"")</f>
        <v>96</v>
      </c>
      <c r="B132" s="104" t="s">
        <v>744</v>
      </c>
      <c r="C132" s="104" t="s">
        <v>745</v>
      </c>
      <c r="D132" s="102" t="s">
        <v>50</v>
      </c>
      <c r="E132" s="117" t="s">
        <v>168</v>
      </c>
      <c r="F132" s="240" t="s">
        <v>749</v>
      </c>
      <c r="G132" s="103">
        <f>4*26*77</f>
        <v>8008</v>
      </c>
      <c r="H132" s="51">
        <f>IF(VLOOKUP(J132,'HOURLY RATES'!B$116:C$124,2,0)=0,$J$3,VLOOKUP(J132,'HOURLY RATES'!B$116:C$124,2,0))</f>
        <v>0.05</v>
      </c>
      <c r="I132" s="52">
        <f t="shared" si="26"/>
        <v>8408.4</v>
      </c>
      <c r="J132" s="101" t="s">
        <v>253</v>
      </c>
      <c r="K132" s="150">
        <v>4.0500000000000001E-2</v>
      </c>
      <c r="L132" s="151">
        <f t="shared" si="37"/>
        <v>340.54019999999997</v>
      </c>
      <c r="M132" s="57">
        <f>IF(VLOOKUP(E132,'HOURLY RATES'!C$6:D$105,2,0)=0,$E$3,VLOOKUP(E132,'HOURLY RATES'!C$6:D$105,2,0))</f>
        <v>102</v>
      </c>
      <c r="N132" s="152">
        <f t="shared" si="38"/>
        <v>34735.100399999996</v>
      </c>
      <c r="O132" s="107">
        <v>2.6</v>
      </c>
      <c r="P132" s="107">
        <f t="shared" si="28"/>
        <v>21861.84</v>
      </c>
      <c r="Q132" s="153">
        <f t="shared" si="29"/>
        <v>56596.940399999992</v>
      </c>
      <c r="R132" s="116"/>
      <c r="S132" s="129">
        <f t="shared" si="34"/>
        <v>8.7161886699999993</v>
      </c>
      <c r="T132" s="130">
        <f t="shared" si="35"/>
        <v>73289.200812827985</v>
      </c>
    </row>
    <row r="133" spans="1:20" s="7" customFormat="1" x14ac:dyDescent="0.25">
      <c r="A133" s="110">
        <f>IF(J133&lt;&gt;"",1+MAX($A$17:A132),"")</f>
        <v>97</v>
      </c>
      <c r="B133" s="104" t="s">
        <v>744</v>
      </c>
      <c r="C133" s="104" t="s">
        <v>745</v>
      </c>
      <c r="D133" s="102" t="s">
        <v>50</v>
      </c>
      <c r="E133" s="117" t="s">
        <v>168</v>
      </c>
      <c r="F133" s="240" t="s">
        <v>750</v>
      </c>
      <c r="G133" s="103">
        <f>5*27*77</f>
        <v>10395</v>
      </c>
      <c r="H133" s="51">
        <f>IF(VLOOKUP(J133,'HOURLY RATES'!B$116:C$124,2,0)=0,$J$3,VLOOKUP(J133,'HOURLY RATES'!B$116:C$124,2,0))</f>
        <v>0.05</v>
      </c>
      <c r="I133" s="52">
        <f t="shared" si="26"/>
        <v>10914.75</v>
      </c>
      <c r="J133" s="101" t="s">
        <v>253</v>
      </c>
      <c r="K133" s="150">
        <v>4.0500000000000001E-2</v>
      </c>
      <c r="L133" s="151">
        <f t="shared" si="37"/>
        <v>442.04737499999999</v>
      </c>
      <c r="M133" s="57">
        <f>IF(VLOOKUP(E133,'HOURLY RATES'!C$6:D$105,2,0)=0,$E$3,VLOOKUP(E133,'HOURLY RATES'!C$6:D$105,2,0))</f>
        <v>102</v>
      </c>
      <c r="N133" s="152">
        <f t="shared" si="38"/>
        <v>45088.832249999999</v>
      </c>
      <c r="O133" s="107">
        <v>2.6</v>
      </c>
      <c r="P133" s="107">
        <f t="shared" si="28"/>
        <v>28378.350000000002</v>
      </c>
      <c r="Q133" s="153">
        <f t="shared" si="29"/>
        <v>73467.182249999998</v>
      </c>
      <c r="R133" s="116"/>
      <c r="S133" s="129">
        <f t="shared" si="34"/>
        <v>8.7161886699999993</v>
      </c>
      <c r="T133" s="130">
        <f t="shared" si="35"/>
        <v>95135.020285882492</v>
      </c>
    </row>
    <row r="134" spans="1:20" s="7" customFormat="1" x14ac:dyDescent="0.25">
      <c r="A134" s="110">
        <f>IF(J134&lt;&gt;"",1+MAX($A$17:A133),"")</f>
        <v>98</v>
      </c>
      <c r="B134" s="104" t="s">
        <v>744</v>
      </c>
      <c r="C134" s="104" t="s">
        <v>745</v>
      </c>
      <c r="D134" s="102" t="s">
        <v>50</v>
      </c>
      <c r="E134" s="117" t="s">
        <v>168</v>
      </c>
      <c r="F134" s="240" t="s">
        <v>751</v>
      </c>
      <c r="G134" s="103">
        <f>1*28*77</f>
        <v>2156</v>
      </c>
      <c r="H134" s="51">
        <f>IF(VLOOKUP(J134,'HOURLY RATES'!B$116:C$124,2,0)=0,$J$3,VLOOKUP(J134,'HOURLY RATES'!B$116:C$124,2,0))</f>
        <v>0.05</v>
      </c>
      <c r="I134" s="52">
        <f t="shared" ref="I134:I140" si="39">(G134*(1+H134))</f>
        <v>2263.8000000000002</v>
      </c>
      <c r="J134" s="101" t="s">
        <v>253</v>
      </c>
      <c r="K134" s="150">
        <v>4.0500000000000001E-2</v>
      </c>
      <c r="L134" s="151">
        <f t="shared" si="37"/>
        <v>91.683900000000008</v>
      </c>
      <c r="M134" s="57">
        <f>IF(VLOOKUP(E134,'HOURLY RATES'!C$6:D$105,2,0)=0,$E$3,VLOOKUP(E134,'HOURLY RATES'!C$6:D$105,2,0))</f>
        <v>102</v>
      </c>
      <c r="N134" s="152">
        <f t="shared" si="38"/>
        <v>9351.7578000000012</v>
      </c>
      <c r="O134" s="107">
        <v>2.6</v>
      </c>
      <c r="P134" s="107">
        <f t="shared" ref="P134:P140" si="40">O134*I134</f>
        <v>5885.880000000001</v>
      </c>
      <c r="Q134" s="153">
        <f t="shared" ref="Q134:Q140" si="41">P134+N134</f>
        <v>15237.637800000002</v>
      </c>
      <c r="R134" s="116"/>
      <c r="S134" s="129">
        <f t="shared" si="34"/>
        <v>8.7161886699999975</v>
      </c>
      <c r="T134" s="130">
        <f t="shared" si="35"/>
        <v>19731.707911145997</v>
      </c>
    </row>
    <row r="135" spans="1:20" s="7" customFormat="1" x14ac:dyDescent="0.25">
      <c r="A135" s="110">
        <f>IF(J135&lt;&gt;"",1+MAX($A$17:A134),"")</f>
        <v>99</v>
      </c>
      <c r="B135" s="104" t="s">
        <v>744</v>
      </c>
      <c r="C135" s="104" t="s">
        <v>745</v>
      </c>
      <c r="D135" s="102" t="s">
        <v>50</v>
      </c>
      <c r="E135" s="117" t="s">
        <v>168</v>
      </c>
      <c r="F135" s="240" t="s">
        <v>752</v>
      </c>
      <c r="G135" s="103">
        <f>7*30*77</f>
        <v>16170</v>
      </c>
      <c r="H135" s="51">
        <f>IF(VLOOKUP(J135,'HOURLY RATES'!B$116:C$124,2,0)=0,$J$3,VLOOKUP(J135,'HOURLY RATES'!B$116:C$124,2,0))</f>
        <v>0.05</v>
      </c>
      <c r="I135" s="52">
        <f t="shared" si="39"/>
        <v>16978.5</v>
      </c>
      <c r="J135" s="101" t="s">
        <v>253</v>
      </c>
      <c r="K135" s="150">
        <v>4.0500000000000001E-2</v>
      </c>
      <c r="L135" s="151">
        <f t="shared" si="37"/>
        <v>687.62925000000007</v>
      </c>
      <c r="M135" s="57">
        <f>IF(VLOOKUP(E135,'HOURLY RATES'!C$6:D$105,2,0)=0,$E$3,VLOOKUP(E135,'HOURLY RATES'!C$6:D$105,2,0))</f>
        <v>102</v>
      </c>
      <c r="N135" s="152">
        <f t="shared" si="38"/>
        <v>70138.183500000014</v>
      </c>
      <c r="O135" s="107">
        <v>2.6</v>
      </c>
      <c r="P135" s="107">
        <f t="shared" si="40"/>
        <v>44144.1</v>
      </c>
      <c r="Q135" s="153">
        <f t="shared" si="41"/>
        <v>114282.28350000002</v>
      </c>
      <c r="R135" s="116"/>
      <c r="S135" s="129">
        <f t="shared" si="34"/>
        <v>8.7161886699999993</v>
      </c>
      <c r="T135" s="130">
        <f t="shared" si="35"/>
        <v>147987.80933359498</v>
      </c>
    </row>
    <row r="136" spans="1:20" s="7" customFormat="1" x14ac:dyDescent="0.25">
      <c r="A136" s="110">
        <f>IF(J136&lt;&gt;"",1+MAX($A$17:A135),"")</f>
        <v>100</v>
      </c>
      <c r="B136" s="104" t="s">
        <v>744</v>
      </c>
      <c r="C136" s="104" t="s">
        <v>745</v>
      </c>
      <c r="D136" s="102" t="s">
        <v>50</v>
      </c>
      <c r="E136" s="117" t="s">
        <v>168</v>
      </c>
      <c r="F136" s="240" t="s">
        <v>753</v>
      </c>
      <c r="G136" s="103">
        <f>1*31*77</f>
        <v>2387</v>
      </c>
      <c r="H136" s="51">
        <f>IF(VLOOKUP(J136,'HOURLY RATES'!B$116:C$124,2,0)=0,$J$3,VLOOKUP(J136,'HOURLY RATES'!B$116:C$124,2,0))</f>
        <v>0.05</v>
      </c>
      <c r="I136" s="52">
        <f t="shared" si="39"/>
        <v>2506.35</v>
      </c>
      <c r="J136" s="101" t="s">
        <v>253</v>
      </c>
      <c r="K136" s="150">
        <v>4.0500000000000001E-2</v>
      </c>
      <c r="L136" s="151">
        <f t="shared" si="37"/>
        <v>101.507175</v>
      </c>
      <c r="M136" s="57">
        <f>IF(VLOOKUP(E136,'HOURLY RATES'!C$6:D$105,2,0)=0,$E$3,VLOOKUP(E136,'HOURLY RATES'!C$6:D$105,2,0))</f>
        <v>102</v>
      </c>
      <c r="N136" s="152">
        <f t="shared" si="38"/>
        <v>10353.73185</v>
      </c>
      <c r="O136" s="107">
        <v>2.6</v>
      </c>
      <c r="P136" s="107">
        <f t="shared" si="40"/>
        <v>6516.51</v>
      </c>
      <c r="Q136" s="153">
        <f t="shared" si="41"/>
        <v>16870.241849999999</v>
      </c>
      <c r="R136" s="116"/>
      <c r="S136" s="129">
        <f t="shared" si="34"/>
        <v>8.7161886700000011</v>
      </c>
      <c r="T136" s="130">
        <f t="shared" si="35"/>
        <v>21845.8194730545</v>
      </c>
    </row>
    <row r="137" spans="1:20" s="7" customFormat="1" x14ac:dyDescent="0.25">
      <c r="A137" s="110">
        <f>IF(J137&lt;&gt;"",1+MAX($A$17:A136),"")</f>
        <v>101</v>
      </c>
      <c r="B137" s="104" t="s">
        <v>744</v>
      </c>
      <c r="C137" s="104" t="s">
        <v>745</v>
      </c>
      <c r="D137" s="102" t="s">
        <v>50</v>
      </c>
      <c r="E137" s="117" t="s">
        <v>168</v>
      </c>
      <c r="F137" s="240" t="s">
        <v>754</v>
      </c>
      <c r="G137" s="103">
        <f>9*33*77</f>
        <v>22869</v>
      </c>
      <c r="H137" s="51">
        <f>IF(VLOOKUP(J137,'HOURLY RATES'!B$116:C$124,2,0)=0,$J$3,VLOOKUP(J137,'HOURLY RATES'!B$116:C$124,2,0))</f>
        <v>0.05</v>
      </c>
      <c r="I137" s="52">
        <f t="shared" si="39"/>
        <v>24012.45</v>
      </c>
      <c r="J137" s="101" t="s">
        <v>253</v>
      </c>
      <c r="K137" s="150">
        <v>4.0500000000000001E-2</v>
      </c>
      <c r="L137" s="151">
        <f t="shared" si="37"/>
        <v>972.50422500000002</v>
      </c>
      <c r="M137" s="57">
        <f>IF(VLOOKUP(E137,'HOURLY RATES'!C$6:D$105,2,0)=0,$E$3,VLOOKUP(E137,'HOURLY RATES'!C$6:D$105,2,0))</f>
        <v>102</v>
      </c>
      <c r="N137" s="152">
        <f t="shared" si="38"/>
        <v>99195.430950000009</v>
      </c>
      <c r="O137" s="107">
        <v>2.6</v>
      </c>
      <c r="P137" s="107">
        <f t="shared" si="40"/>
        <v>62432.37</v>
      </c>
      <c r="Q137" s="153">
        <f t="shared" si="41"/>
        <v>161627.80095</v>
      </c>
      <c r="R137" s="116"/>
      <c r="S137" s="129">
        <f t="shared" si="34"/>
        <v>8.7161886700000011</v>
      </c>
      <c r="T137" s="130">
        <f t="shared" si="35"/>
        <v>209297.04462894154</v>
      </c>
    </row>
    <row r="138" spans="1:20" s="7" customFormat="1" x14ac:dyDescent="0.25">
      <c r="A138" s="110">
        <f>IF(J138&lt;&gt;"",1+MAX($A$17:A137),"")</f>
        <v>102</v>
      </c>
      <c r="B138" s="104" t="s">
        <v>744</v>
      </c>
      <c r="C138" s="104" t="s">
        <v>745</v>
      </c>
      <c r="D138" s="102" t="s">
        <v>50</v>
      </c>
      <c r="E138" s="117" t="s">
        <v>168</v>
      </c>
      <c r="F138" s="240" t="s">
        <v>755</v>
      </c>
      <c r="G138" s="103">
        <f>1*34*77</f>
        <v>2618</v>
      </c>
      <c r="H138" s="51">
        <f>IF(VLOOKUP(J138,'HOURLY RATES'!B$116:C$124,2,0)=0,$J$3,VLOOKUP(J138,'HOURLY RATES'!B$116:C$124,2,0))</f>
        <v>0.05</v>
      </c>
      <c r="I138" s="52">
        <f t="shared" si="39"/>
        <v>2748.9</v>
      </c>
      <c r="J138" s="101" t="s">
        <v>253</v>
      </c>
      <c r="K138" s="150">
        <v>4.0500000000000001E-2</v>
      </c>
      <c r="L138" s="151">
        <f t="shared" si="37"/>
        <v>111.33045000000001</v>
      </c>
      <c r="M138" s="57">
        <f>IF(VLOOKUP(E138,'HOURLY RATES'!C$6:D$105,2,0)=0,$E$3,VLOOKUP(E138,'HOURLY RATES'!C$6:D$105,2,0))</f>
        <v>102</v>
      </c>
      <c r="N138" s="152">
        <f t="shared" si="38"/>
        <v>11355.705900000001</v>
      </c>
      <c r="O138" s="107">
        <v>2.6</v>
      </c>
      <c r="P138" s="107">
        <f t="shared" si="40"/>
        <v>7147.14</v>
      </c>
      <c r="Q138" s="153">
        <f t="shared" si="41"/>
        <v>18502.8459</v>
      </c>
      <c r="R138" s="116"/>
      <c r="S138" s="129">
        <f t="shared" si="34"/>
        <v>8.7161886699999993</v>
      </c>
      <c r="T138" s="130">
        <f t="shared" si="35"/>
        <v>23959.931034963</v>
      </c>
    </row>
    <row r="139" spans="1:20" s="7" customFormat="1" x14ac:dyDescent="0.25">
      <c r="A139" s="110">
        <f>IF(J139&lt;&gt;"",1+MAX($A$17:A138),"")</f>
        <v>103</v>
      </c>
      <c r="B139" s="104" t="s">
        <v>744</v>
      </c>
      <c r="C139" s="104" t="s">
        <v>745</v>
      </c>
      <c r="D139" s="102" t="s">
        <v>50</v>
      </c>
      <c r="E139" s="117" t="s">
        <v>168</v>
      </c>
      <c r="F139" s="240" t="s">
        <v>756</v>
      </c>
      <c r="G139" s="103">
        <f>2*38*77</f>
        <v>5852</v>
      </c>
      <c r="H139" s="51">
        <f>IF(VLOOKUP(J139,'HOURLY RATES'!B$116:C$124,2,0)=0,$J$3,VLOOKUP(J139,'HOURLY RATES'!B$116:C$124,2,0))</f>
        <v>0.05</v>
      </c>
      <c r="I139" s="52">
        <f t="shared" si="39"/>
        <v>6144.6</v>
      </c>
      <c r="J139" s="101" t="s">
        <v>253</v>
      </c>
      <c r="K139" s="150">
        <v>4.0500000000000001E-2</v>
      </c>
      <c r="L139" s="151">
        <f t="shared" si="37"/>
        <v>248.85630000000003</v>
      </c>
      <c r="M139" s="57">
        <f>IF(VLOOKUP(E139,'HOURLY RATES'!C$6:D$105,2,0)=0,$E$3,VLOOKUP(E139,'HOURLY RATES'!C$6:D$105,2,0))</f>
        <v>102</v>
      </c>
      <c r="N139" s="152">
        <f t="shared" si="38"/>
        <v>25383.342600000004</v>
      </c>
      <c r="O139" s="107">
        <v>2.6</v>
      </c>
      <c r="P139" s="107">
        <f t="shared" si="40"/>
        <v>15975.960000000001</v>
      </c>
      <c r="Q139" s="153">
        <f t="shared" si="41"/>
        <v>41359.302600000003</v>
      </c>
      <c r="R139" s="116"/>
      <c r="S139" s="129">
        <f t="shared" si="34"/>
        <v>8.7161886699999993</v>
      </c>
      <c r="T139" s="130">
        <f t="shared" si="35"/>
        <v>53557.492901682002</v>
      </c>
    </row>
    <row r="140" spans="1:20" s="7" customFormat="1" x14ac:dyDescent="0.25">
      <c r="A140" s="110">
        <f>IF(J140&lt;&gt;"",1+MAX($A$17:A139),"")</f>
        <v>104</v>
      </c>
      <c r="B140" s="104" t="s">
        <v>744</v>
      </c>
      <c r="C140" s="104" t="s">
        <v>745</v>
      </c>
      <c r="D140" s="102" t="s">
        <v>50</v>
      </c>
      <c r="E140" s="117" t="s">
        <v>168</v>
      </c>
      <c r="F140" s="240" t="s">
        <v>757</v>
      </c>
      <c r="G140" s="103">
        <f>1*29*49</f>
        <v>1421</v>
      </c>
      <c r="H140" s="51">
        <f>IF(VLOOKUP(J140,'HOURLY RATES'!B$116:C$124,2,0)=0,$J$3,VLOOKUP(J140,'HOURLY RATES'!B$116:C$124,2,0))</f>
        <v>0.05</v>
      </c>
      <c r="I140" s="52">
        <f t="shared" si="39"/>
        <v>1492.05</v>
      </c>
      <c r="J140" s="101" t="s">
        <v>253</v>
      </c>
      <c r="K140" s="150">
        <v>4.0500000000000001E-2</v>
      </c>
      <c r="L140" s="151">
        <f t="shared" si="37"/>
        <v>60.428024999999998</v>
      </c>
      <c r="M140" s="57">
        <f>IF(VLOOKUP(E140,'HOURLY RATES'!C$6:D$105,2,0)=0,$E$3,VLOOKUP(E140,'HOURLY RATES'!C$6:D$105,2,0))</f>
        <v>102</v>
      </c>
      <c r="N140" s="152">
        <f t="shared" si="38"/>
        <v>6163.6585500000001</v>
      </c>
      <c r="O140" s="107">
        <v>2.6</v>
      </c>
      <c r="P140" s="107">
        <f t="shared" si="40"/>
        <v>3879.33</v>
      </c>
      <c r="Q140" s="153">
        <f t="shared" si="41"/>
        <v>10042.98855</v>
      </c>
      <c r="R140" s="116"/>
      <c r="S140" s="129">
        <f t="shared" si="34"/>
        <v>8.7161886699999993</v>
      </c>
      <c r="T140" s="130">
        <f t="shared" si="35"/>
        <v>13004.989305073499</v>
      </c>
    </row>
    <row r="141" spans="1:20" s="7" customFormat="1" x14ac:dyDescent="0.25">
      <c r="A141" s="110" t="str">
        <f>IF(J141&lt;&gt;"",1+MAX($A$17:A140),"")</f>
        <v/>
      </c>
      <c r="B141" s="104"/>
      <c r="C141" s="108"/>
      <c r="D141" s="102"/>
      <c r="E141" s="117"/>
      <c r="F141" s="240" t="s">
        <v>248</v>
      </c>
      <c r="G141" s="103"/>
      <c r="H141" s="105"/>
      <c r="I141" s="106"/>
      <c r="J141" s="101"/>
      <c r="K141" s="150"/>
      <c r="L141" s="151"/>
      <c r="M141" s="152"/>
      <c r="N141" s="152"/>
      <c r="O141" s="107"/>
      <c r="P141" s="107"/>
      <c r="Q141" s="153"/>
      <c r="R141" s="116"/>
      <c r="S141" s="129"/>
      <c r="T141" s="130"/>
    </row>
    <row r="142" spans="1:20" s="7" customFormat="1" x14ac:dyDescent="0.25">
      <c r="A142" s="110" t="str">
        <f>IF(J142&lt;&gt;"",1+MAX($A$17:A141),"")</f>
        <v/>
      </c>
      <c r="B142" s="104"/>
      <c r="C142" s="108"/>
      <c r="D142" s="102"/>
      <c r="E142" s="117"/>
      <c r="F142" s="239" t="s">
        <v>758</v>
      </c>
      <c r="G142" s="103"/>
      <c r="H142" s="105"/>
      <c r="I142" s="106"/>
      <c r="J142" s="101"/>
      <c r="K142" s="150"/>
      <c r="L142" s="151"/>
      <c r="M142" s="152"/>
      <c r="N142" s="152"/>
      <c r="O142" s="107"/>
      <c r="P142" s="107"/>
      <c r="Q142" s="153"/>
      <c r="R142" s="116"/>
      <c r="S142" s="129"/>
      <c r="T142" s="130"/>
    </row>
    <row r="143" spans="1:20" s="7" customFormat="1" x14ac:dyDescent="0.25">
      <c r="A143" s="110">
        <f>IF(J143&lt;&gt;"",1+MAX($A$17:A142),"")</f>
        <v>105</v>
      </c>
      <c r="B143" s="104" t="s">
        <v>744</v>
      </c>
      <c r="C143" s="104" t="s">
        <v>745</v>
      </c>
      <c r="D143" s="102" t="s">
        <v>50</v>
      </c>
      <c r="E143" s="117" t="s">
        <v>168</v>
      </c>
      <c r="F143" s="240" t="s">
        <v>900</v>
      </c>
      <c r="G143" s="103">
        <f>76*72.5</f>
        <v>5510</v>
      </c>
      <c r="H143" s="51">
        <f>IF(VLOOKUP(J143,'HOURLY RATES'!B$116:C$124,2,0)=0,$J$3,VLOOKUP(J143,'HOURLY RATES'!B$116:C$124,2,0))</f>
        <v>0.05</v>
      </c>
      <c r="I143" s="52">
        <f t="shared" ref="I143:I146" si="42">(G143*(1+H143))</f>
        <v>5785.5</v>
      </c>
      <c r="J143" s="101" t="s">
        <v>253</v>
      </c>
      <c r="K143" s="150">
        <v>4.0500000000000001E-2</v>
      </c>
      <c r="L143" s="151">
        <f t="shared" ref="L143:L146" si="43">K143*I143</f>
        <v>234.31274999999999</v>
      </c>
      <c r="M143" s="57">
        <f>IF(VLOOKUP(E143,'HOURLY RATES'!C$6:D$105,2,0)=0,$E$3,VLOOKUP(E143,'HOURLY RATES'!C$6:D$105,2,0))</f>
        <v>102</v>
      </c>
      <c r="N143" s="152">
        <f t="shared" ref="N143:N146" si="44">M143*L143</f>
        <v>23899.9005</v>
      </c>
      <c r="O143" s="107">
        <v>2.6</v>
      </c>
      <c r="P143" s="107">
        <f t="shared" ref="P143:P146" si="45">O143*I143</f>
        <v>15042.300000000001</v>
      </c>
      <c r="Q143" s="153">
        <f t="shared" ref="Q143:Q146" si="46">P143+N143</f>
        <v>38942.200499999999</v>
      </c>
      <c r="R143" s="116"/>
      <c r="S143" s="129">
        <f t="shared" si="34"/>
        <v>8.7161886699999993</v>
      </c>
      <c r="T143" s="130">
        <f t="shared" si="35"/>
        <v>50427.509550284994</v>
      </c>
    </row>
    <row r="144" spans="1:20" s="7" customFormat="1" x14ac:dyDescent="0.25">
      <c r="A144" s="110">
        <f>IF(J144&lt;&gt;"",1+MAX($A$17:A143),"")</f>
        <v>106</v>
      </c>
      <c r="B144" s="104" t="s">
        <v>744</v>
      </c>
      <c r="C144" s="104" t="s">
        <v>745</v>
      </c>
      <c r="D144" s="102" t="s">
        <v>50</v>
      </c>
      <c r="E144" s="117" t="s">
        <v>168</v>
      </c>
      <c r="F144" s="240" t="s">
        <v>901</v>
      </c>
      <c r="G144" s="103">
        <f>6*68</f>
        <v>408</v>
      </c>
      <c r="H144" s="51">
        <f>IF(VLOOKUP(J144,'HOURLY RATES'!B$116:C$124,2,0)=0,$J$3,VLOOKUP(J144,'HOURLY RATES'!B$116:C$124,2,0))</f>
        <v>0.05</v>
      </c>
      <c r="I144" s="52">
        <f t="shared" si="42"/>
        <v>428.40000000000003</v>
      </c>
      <c r="J144" s="101" t="s">
        <v>253</v>
      </c>
      <c r="K144" s="150">
        <v>4.0500000000000001E-2</v>
      </c>
      <c r="L144" s="151">
        <f t="shared" si="43"/>
        <v>17.350200000000001</v>
      </c>
      <c r="M144" s="57">
        <f>IF(VLOOKUP(E144,'HOURLY RATES'!C$6:D$105,2,0)=0,$E$3,VLOOKUP(E144,'HOURLY RATES'!C$6:D$105,2,0))</f>
        <v>102</v>
      </c>
      <c r="N144" s="152">
        <f t="shared" si="44"/>
        <v>1769.7204000000002</v>
      </c>
      <c r="O144" s="107">
        <v>2.6</v>
      </c>
      <c r="P144" s="107">
        <f t="shared" si="45"/>
        <v>1113.8400000000001</v>
      </c>
      <c r="Q144" s="153">
        <f t="shared" si="46"/>
        <v>2883.5604000000003</v>
      </c>
      <c r="R144" s="116"/>
      <c r="S144" s="129">
        <f t="shared" si="34"/>
        <v>8.7161886699999993</v>
      </c>
      <c r="T144" s="130">
        <f t="shared" si="35"/>
        <v>3734.0152262279998</v>
      </c>
    </row>
    <row r="145" spans="1:20" s="7" customFormat="1" x14ac:dyDescent="0.25">
      <c r="A145" s="110">
        <f>IF(J145&lt;&gt;"",1+MAX($A$17:A144),"")</f>
        <v>107</v>
      </c>
      <c r="B145" s="104" t="s">
        <v>744</v>
      </c>
      <c r="C145" s="104" t="s">
        <v>745</v>
      </c>
      <c r="D145" s="102" t="s">
        <v>50</v>
      </c>
      <c r="E145" s="117" t="s">
        <v>168</v>
      </c>
      <c r="F145" s="240" t="s">
        <v>902</v>
      </c>
      <c r="G145" s="103">
        <f>11*55.5</f>
        <v>610.5</v>
      </c>
      <c r="H145" s="51">
        <f>IF(VLOOKUP(J145,'HOURLY RATES'!B$116:C$124,2,0)=0,$J$3,VLOOKUP(J145,'HOURLY RATES'!B$116:C$124,2,0))</f>
        <v>0.05</v>
      </c>
      <c r="I145" s="52">
        <f t="shared" si="42"/>
        <v>641.02499999999998</v>
      </c>
      <c r="J145" s="101" t="s">
        <v>253</v>
      </c>
      <c r="K145" s="150">
        <v>4.0500000000000001E-2</v>
      </c>
      <c r="L145" s="151">
        <f t="shared" si="43"/>
        <v>25.961512500000001</v>
      </c>
      <c r="M145" s="57">
        <f>IF(VLOOKUP(E145,'HOURLY RATES'!C$6:D$105,2,0)=0,$E$3,VLOOKUP(E145,'HOURLY RATES'!C$6:D$105,2,0))</f>
        <v>102</v>
      </c>
      <c r="N145" s="152">
        <f t="shared" si="44"/>
        <v>2648.0742749999999</v>
      </c>
      <c r="O145" s="107">
        <v>2.6</v>
      </c>
      <c r="P145" s="107">
        <f t="shared" si="45"/>
        <v>1666.665</v>
      </c>
      <c r="Q145" s="153">
        <f t="shared" si="46"/>
        <v>4314.7392749999999</v>
      </c>
      <c r="R145" s="116"/>
      <c r="S145" s="129">
        <f t="shared" si="34"/>
        <v>8.7161886699999975</v>
      </c>
      <c r="T145" s="130">
        <f t="shared" si="35"/>
        <v>5587.2948421867486</v>
      </c>
    </row>
    <row r="146" spans="1:20" s="7" customFormat="1" x14ac:dyDescent="0.25">
      <c r="A146" s="110">
        <f>IF(J146&lt;&gt;"",1+MAX($A$17:A145),"")</f>
        <v>108</v>
      </c>
      <c r="B146" s="104" t="s">
        <v>744</v>
      </c>
      <c r="C146" s="104" t="s">
        <v>745</v>
      </c>
      <c r="D146" s="102" t="s">
        <v>50</v>
      </c>
      <c r="E146" s="117" t="s">
        <v>168</v>
      </c>
      <c r="F146" s="240" t="s">
        <v>903</v>
      </c>
      <c r="G146" s="103">
        <f>97*97</f>
        <v>9409</v>
      </c>
      <c r="H146" s="51">
        <f>IF(VLOOKUP(J146,'HOURLY RATES'!B$116:C$124,2,0)=0,$J$3,VLOOKUP(J146,'HOURLY RATES'!B$116:C$124,2,0))</f>
        <v>0.05</v>
      </c>
      <c r="I146" s="52">
        <f t="shared" si="42"/>
        <v>9879.4500000000007</v>
      </c>
      <c r="J146" s="101" t="s">
        <v>253</v>
      </c>
      <c r="K146" s="150">
        <v>4.0500000000000001E-2</v>
      </c>
      <c r="L146" s="151">
        <f t="shared" si="43"/>
        <v>400.11772500000006</v>
      </c>
      <c r="M146" s="57">
        <f>IF(VLOOKUP(E146,'HOURLY RATES'!C$6:D$105,2,0)=0,$E$3,VLOOKUP(E146,'HOURLY RATES'!C$6:D$105,2,0))</f>
        <v>102</v>
      </c>
      <c r="N146" s="152">
        <f t="shared" si="44"/>
        <v>40812.007950000007</v>
      </c>
      <c r="O146" s="107">
        <v>2.6</v>
      </c>
      <c r="P146" s="107">
        <f t="shared" si="45"/>
        <v>25686.570000000003</v>
      </c>
      <c r="Q146" s="153">
        <f t="shared" si="46"/>
        <v>66498.577950000006</v>
      </c>
      <c r="R146" s="116"/>
      <c r="S146" s="129">
        <f t="shared" si="34"/>
        <v>8.7161886699999993</v>
      </c>
      <c r="T146" s="130">
        <f t="shared" si="35"/>
        <v>86111.150155831507</v>
      </c>
    </row>
    <row r="147" spans="1:20" s="7" customFormat="1" x14ac:dyDescent="0.25">
      <c r="A147" s="110" t="str">
        <f>IF(J147&lt;&gt;"",1+MAX($A$17:A146),"")</f>
        <v/>
      </c>
      <c r="B147" s="104"/>
      <c r="C147" s="108"/>
      <c r="D147" s="102"/>
      <c r="E147" s="117"/>
      <c r="F147" s="240" t="s">
        <v>248</v>
      </c>
      <c r="G147" s="103"/>
      <c r="H147" s="105"/>
      <c r="I147" s="106"/>
      <c r="J147" s="101"/>
      <c r="K147" s="150"/>
      <c r="L147" s="151"/>
      <c r="M147" s="152"/>
      <c r="N147" s="152"/>
      <c r="O147" s="107"/>
      <c r="P147" s="107"/>
      <c r="Q147" s="153"/>
      <c r="R147" s="116"/>
      <c r="S147" s="129"/>
      <c r="T147" s="130"/>
    </row>
    <row r="148" spans="1:20" s="7" customFormat="1" x14ac:dyDescent="0.25">
      <c r="A148" s="110" t="str">
        <f>IF(J148&lt;&gt;"",1+MAX($A$17:A147),"")</f>
        <v/>
      </c>
      <c r="B148" s="104"/>
      <c r="C148" s="108"/>
      <c r="D148" s="102"/>
      <c r="E148" s="117"/>
      <c r="F148" s="239" t="s">
        <v>759</v>
      </c>
      <c r="G148" s="103"/>
      <c r="H148" s="105"/>
      <c r="I148" s="106"/>
      <c r="J148" s="101"/>
      <c r="K148" s="150"/>
      <c r="L148" s="151"/>
      <c r="M148" s="152"/>
      <c r="N148" s="152"/>
      <c r="O148" s="107"/>
      <c r="P148" s="107"/>
      <c r="Q148" s="153"/>
      <c r="R148" s="116"/>
      <c r="S148" s="129"/>
      <c r="T148" s="130"/>
    </row>
    <row r="149" spans="1:20" s="7" customFormat="1" x14ac:dyDescent="0.25">
      <c r="A149" s="110">
        <f>IF(J149&lt;&gt;"",1+MAX($A$17:A148),"")</f>
        <v>109</v>
      </c>
      <c r="B149" s="104" t="s">
        <v>744</v>
      </c>
      <c r="C149" s="104" t="s">
        <v>745</v>
      </c>
      <c r="D149" s="102" t="s">
        <v>50</v>
      </c>
      <c r="E149" s="117" t="s">
        <v>168</v>
      </c>
      <c r="F149" s="240" t="s">
        <v>760</v>
      </c>
      <c r="G149" s="103">
        <f>82.9*12</f>
        <v>994.80000000000007</v>
      </c>
      <c r="H149" s="51">
        <f>IF(VLOOKUP(J149,'HOURLY RATES'!B$116:C$124,2,0)=0,$J$3,VLOOKUP(J149,'HOURLY RATES'!B$116:C$124,2,0))</f>
        <v>0.05</v>
      </c>
      <c r="I149" s="52">
        <f t="shared" ref="I149:I196" si="47">(G149*(1+H149))</f>
        <v>1044.5400000000002</v>
      </c>
      <c r="J149" s="101" t="s">
        <v>253</v>
      </c>
      <c r="K149" s="150">
        <v>4.0500000000000001E-2</v>
      </c>
      <c r="L149" s="151">
        <f t="shared" ref="L149:L196" si="48">K149*I149</f>
        <v>42.303870000000011</v>
      </c>
      <c r="M149" s="57">
        <f>IF(VLOOKUP(E149,'HOURLY RATES'!C$6:D$105,2,0)=0,$E$3,VLOOKUP(E149,'HOURLY RATES'!C$6:D$105,2,0))</f>
        <v>102</v>
      </c>
      <c r="N149" s="152">
        <f t="shared" ref="N149:N196" si="49">M149*L149</f>
        <v>4314.994740000001</v>
      </c>
      <c r="O149" s="107">
        <v>2.1</v>
      </c>
      <c r="P149" s="107">
        <f t="shared" ref="P149:P196" si="50">O149*I149</f>
        <v>2193.5340000000006</v>
      </c>
      <c r="Q149" s="153">
        <f t="shared" ref="Q149:Q196" si="51">P149+N149</f>
        <v>6508.5287400000016</v>
      </c>
      <c r="R149" s="116"/>
      <c r="S149" s="129">
        <f t="shared" ref="S149:S212" si="52">((((N149*(1+$D$7))+(P149*(1+$D$5+$D$6)))*(1+$D$8)))/I149</f>
        <v>8.0479228200000001</v>
      </c>
      <c r="T149" s="130">
        <f t="shared" ref="T149:T212" si="53">S149*I149</f>
        <v>8406.3773024028014</v>
      </c>
    </row>
    <row r="150" spans="1:20" s="7" customFormat="1" x14ac:dyDescent="0.25">
      <c r="A150" s="110">
        <f>IF(J150&lt;&gt;"",1+MAX($A$17:A149),"")</f>
        <v>110</v>
      </c>
      <c r="B150" s="104" t="s">
        <v>744</v>
      </c>
      <c r="C150" s="104" t="s">
        <v>745</v>
      </c>
      <c r="D150" s="102" t="s">
        <v>50</v>
      </c>
      <c r="E150" s="117" t="s">
        <v>168</v>
      </c>
      <c r="F150" s="240" t="s">
        <v>761</v>
      </c>
      <c r="G150" s="103">
        <f>52.73*10</f>
        <v>527.29999999999995</v>
      </c>
      <c r="H150" s="51">
        <f>IF(VLOOKUP(J150,'HOURLY RATES'!B$116:C$124,2,0)=0,$J$3,VLOOKUP(J150,'HOURLY RATES'!B$116:C$124,2,0))</f>
        <v>0.05</v>
      </c>
      <c r="I150" s="52">
        <f t="shared" si="47"/>
        <v>553.66499999999996</v>
      </c>
      <c r="J150" s="101" t="s">
        <v>253</v>
      </c>
      <c r="K150" s="150">
        <v>4.0500000000000001E-2</v>
      </c>
      <c r="L150" s="151">
        <f t="shared" si="48"/>
        <v>22.423432500000001</v>
      </c>
      <c r="M150" s="57">
        <f>IF(VLOOKUP(E150,'HOURLY RATES'!C$6:D$105,2,0)=0,$E$3,VLOOKUP(E150,'HOURLY RATES'!C$6:D$105,2,0))</f>
        <v>102</v>
      </c>
      <c r="N150" s="152">
        <f t="shared" si="49"/>
        <v>2287.1901149999999</v>
      </c>
      <c r="O150" s="107">
        <v>2.1</v>
      </c>
      <c r="P150" s="107">
        <f t="shared" si="50"/>
        <v>1162.6965</v>
      </c>
      <c r="Q150" s="153">
        <f t="shared" si="51"/>
        <v>3449.8866149999999</v>
      </c>
      <c r="R150" s="116"/>
      <c r="S150" s="129">
        <f t="shared" si="52"/>
        <v>8.0479228199999984</v>
      </c>
      <c r="T150" s="130">
        <f t="shared" si="53"/>
        <v>4455.8531881352992</v>
      </c>
    </row>
    <row r="151" spans="1:20" s="7" customFormat="1" x14ac:dyDescent="0.25">
      <c r="A151" s="110">
        <f>IF(J151&lt;&gt;"",1+MAX($A$17:A150),"")</f>
        <v>111</v>
      </c>
      <c r="B151" s="104" t="s">
        <v>744</v>
      </c>
      <c r="C151" s="104" t="s">
        <v>745</v>
      </c>
      <c r="D151" s="102" t="s">
        <v>50</v>
      </c>
      <c r="E151" s="117" t="s">
        <v>168</v>
      </c>
      <c r="F151" s="240" t="s">
        <v>762</v>
      </c>
      <c r="G151" s="103">
        <f>1698.3*18</f>
        <v>30569.399999999998</v>
      </c>
      <c r="H151" s="51">
        <f>IF(VLOOKUP(J151,'HOURLY RATES'!B$116:C$124,2,0)=0,$J$3,VLOOKUP(J151,'HOURLY RATES'!B$116:C$124,2,0))</f>
        <v>0.05</v>
      </c>
      <c r="I151" s="52">
        <f t="shared" si="47"/>
        <v>32097.87</v>
      </c>
      <c r="J151" s="101" t="s">
        <v>253</v>
      </c>
      <c r="K151" s="150">
        <v>4.0500000000000001E-2</v>
      </c>
      <c r="L151" s="151">
        <f t="shared" si="48"/>
        <v>1299.963735</v>
      </c>
      <c r="M151" s="57">
        <f>IF(VLOOKUP(E151,'HOURLY RATES'!C$6:D$105,2,0)=0,$E$3,VLOOKUP(E151,'HOURLY RATES'!C$6:D$105,2,0))</f>
        <v>102</v>
      </c>
      <c r="N151" s="152">
        <f t="shared" si="49"/>
        <v>132596.30097000001</v>
      </c>
      <c r="O151" s="107">
        <v>2.1</v>
      </c>
      <c r="P151" s="107">
        <f t="shared" si="50"/>
        <v>67405.527000000002</v>
      </c>
      <c r="Q151" s="153">
        <f t="shared" si="51"/>
        <v>200001.82797000001</v>
      </c>
      <c r="R151" s="116"/>
      <c r="S151" s="129">
        <f t="shared" si="52"/>
        <v>8.0479228200000001</v>
      </c>
      <c r="T151" s="130">
        <f t="shared" si="53"/>
        <v>258321.18044639341</v>
      </c>
    </row>
    <row r="152" spans="1:20" s="7" customFormat="1" x14ac:dyDescent="0.25">
      <c r="A152" s="110">
        <f>IF(J152&lt;&gt;"",1+MAX($A$17:A151),"")</f>
        <v>112</v>
      </c>
      <c r="B152" s="104" t="s">
        <v>744</v>
      </c>
      <c r="C152" s="104" t="s">
        <v>745</v>
      </c>
      <c r="D152" s="102" t="s">
        <v>50</v>
      </c>
      <c r="E152" s="117" t="s">
        <v>168</v>
      </c>
      <c r="F152" s="240" t="s">
        <v>763</v>
      </c>
      <c r="G152" s="103">
        <f>2610.17*24</f>
        <v>62644.08</v>
      </c>
      <c r="H152" s="51">
        <f>IF(VLOOKUP(J152,'HOURLY RATES'!B$116:C$124,2,0)=0,$J$3,VLOOKUP(J152,'HOURLY RATES'!B$116:C$124,2,0))</f>
        <v>0.05</v>
      </c>
      <c r="I152" s="52">
        <f t="shared" si="47"/>
        <v>65776.284</v>
      </c>
      <c r="J152" s="101" t="s">
        <v>253</v>
      </c>
      <c r="K152" s="150">
        <v>4.0500000000000001E-2</v>
      </c>
      <c r="L152" s="151">
        <f t="shared" si="48"/>
        <v>2663.9395020000002</v>
      </c>
      <c r="M152" s="57">
        <f>IF(VLOOKUP(E152,'HOURLY RATES'!C$6:D$105,2,0)=0,$E$3,VLOOKUP(E152,'HOURLY RATES'!C$6:D$105,2,0))</f>
        <v>102</v>
      </c>
      <c r="N152" s="152">
        <f t="shared" si="49"/>
        <v>271721.82920400001</v>
      </c>
      <c r="O152" s="107">
        <v>2.1</v>
      </c>
      <c r="P152" s="107">
        <f t="shared" si="50"/>
        <v>138130.19640000002</v>
      </c>
      <c r="Q152" s="153">
        <f t="shared" si="51"/>
        <v>409852.02560400002</v>
      </c>
      <c r="R152" s="116"/>
      <c r="S152" s="129">
        <f t="shared" si="52"/>
        <v>8.0479228200000001</v>
      </c>
      <c r="T152" s="130">
        <f t="shared" si="53"/>
        <v>529362.45701840089</v>
      </c>
    </row>
    <row r="153" spans="1:20" s="7" customFormat="1" x14ac:dyDescent="0.25">
      <c r="A153" s="110">
        <f>IF(J153&lt;&gt;"",1+MAX($A$17:A152),"")</f>
        <v>113</v>
      </c>
      <c r="B153" s="104" t="s">
        <v>744</v>
      </c>
      <c r="C153" s="104" t="s">
        <v>745</v>
      </c>
      <c r="D153" s="102" t="s">
        <v>50</v>
      </c>
      <c r="E153" s="117" t="s">
        <v>168</v>
      </c>
      <c r="F153" s="240" t="s">
        <v>764</v>
      </c>
      <c r="G153" s="103">
        <f>235.16*12</f>
        <v>2821.92</v>
      </c>
      <c r="H153" s="51">
        <f>IF(VLOOKUP(J153,'HOURLY RATES'!B$116:C$124,2,0)=0,$J$3,VLOOKUP(J153,'HOURLY RATES'!B$116:C$124,2,0))</f>
        <v>0.05</v>
      </c>
      <c r="I153" s="52">
        <f t="shared" si="47"/>
        <v>2963.0160000000001</v>
      </c>
      <c r="J153" s="101" t="s">
        <v>253</v>
      </c>
      <c r="K153" s="150">
        <v>4.0500000000000001E-2</v>
      </c>
      <c r="L153" s="151">
        <f t="shared" si="48"/>
        <v>120.00214800000001</v>
      </c>
      <c r="M153" s="57">
        <f>IF(VLOOKUP(E153,'HOURLY RATES'!C$6:D$105,2,0)=0,$E$3,VLOOKUP(E153,'HOURLY RATES'!C$6:D$105,2,0))</f>
        <v>102</v>
      </c>
      <c r="N153" s="152">
        <f t="shared" si="49"/>
        <v>12240.219096000001</v>
      </c>
      <c r="O153" s="107">
        <v>2.1</v>
      </c>
      <c r="P153" s="107">
        <f t="shared" si="50"/>
        <v>6222.3336000000008</v>
      </c>
      <c r="Q153" s="153">
        <f t="shared" si="51"/>
        <v>18462.552696000002</v>
      </c>
      <c r="R153" s="116"/>
      <c r="S153" s="129">
        <f t="shared" si="52"/>
        <v>8.0479228199999984</v>
      </c>
      <c r="T153" s="130">
        <f t="shared" si="53"/>
        <v>23846.124082425114</v>
      </c>
    </row>
    <row r="154" spans="1:20" s="7" customFormat="1" x14ac:dyDescent="0.25">
      <c r="A154" s="110">
        <f>IF(J154&lt;&gt;"",1+MAX($A$17:A153),"")</f>
        <v>114</v>
      </c>
      <c r="B154" s="104" t="s">
        <v>744</v>
      </c>
      <c r="C154" s="104" t="s">
        <v>745</v>
      </c>
      <c r="D154" s="102" t="s">
        <v>50</v>
      </c>
      <c r="E154" s="117" t="s">
        <v>168</v>
      </c>
      <c r="F154" s="240" t="s">
        <v>765</v>
      </c>
      <c r="G154" s="103">
        <f>10.08*15</f>
        <v>151.19999999999999</v>
      </c>
      <c r="H154" s="51">
        <f>IF(VLOOKUP(J154,'HOURLY RATES'!B$116:C$124,2,0)=0,$J$3,VLOOKUP(J154,'HOURLY RATES'!B$116:C$124,2,0))</f>
        <v>0.05</v>
      </c>
      <c r="I154" s="52">
        <f t="shared" si="47"/>
        <v>158.76</v>
      </c>
      <c r="J154" s="101" t="s">
        <v>253</v>
      </c>
      <c r="K154" s="150">
        <v>4.0500000000000001E-2</v>
      </c>
      <c r="L154" s="151">
        <f t="shared" si="48"/>
        <v>6.4297800000000001</v>
      </c>
      <c r="M154" s="57">
        <f>IF(VLOOKUP(E154,'HOURLY RATES'!C$6:D$105,2,0)=0,$E$3,VLOOKUP(E154,'HOURLY RATES'!C$6:D$105,2,0))</f>
        <v>102</v>
      </c>
      <c r="N154" s="152">
        <f t="shared" si="49"/>
        <v>655.83756000000005</v>
      </c>
      <c r="O154" s="107">
        <v>2.1</v>
      </c>
      <c r="P154" s="107">
        <f t="shared" si="50"/>
        <v>333.39600000000002</v>
      </c>
      <c r="Q154" s="153">
        <f t="shared" si="51"/>
        <v>989.23356000000013</v>
      </c>
      <c r="R154" s="116"/>
      <c r="S154" s="129">
        <f t="shared" si="52"/>
        <v>8.0479228200000001</v>
      </c>
      <c r="T154" s="130">
        <f t="shared" si="53"/>
        <v>1277.6882269031998</v>
      </c>
    </row>
    <row r="155" spans="1:20" s="7" customFormat="1" x14ac:dyDescent="0.25">
      <c r="A155" s="110">
        <f>IF(J155&lt;&gt;"",1+MAX($A$17:A154),"")</f>
        <v>115</v>
      </c>
      <c r="B155" s="104" t="s">
        <v>744</v>
      </c>
      <c r="C155" s="104" t="s">
        <v>745</v>
      </c>
      <c r="D155" s="102" t="s">
        <v>50</v>
      </c>
      <c r="E155" s="117" t="s">
        <v>168</v>
      </c>
      <c r="F155" s="240" t="s">
        <v>766</v>
      </c>
      <c r="G155" s="103">
        <f>937.04*22</f>
        <v>20614.879999999997</v>
      </c>
      <c r="H155" s="51">
        <f>IF(VLOOKUP(J155,'HOURLY RATES'!B$116:C$124,2,0)=0,$J$3,VLOOKUP(J155,'HOURLY RATES'!B$116:C$124,2,0))</f>
        <v>0.05</v>
      </c>
      <c r="I155" s="52">
        <f t="shared" si="47"/>
        <v>21645.624</v>
      </c>
      <c r="J155" s="101" t="s">
        <v>253</v>
      </c>
      <c r="K155" s="150">
        <v>4.0500000000000001E-2</v>
      </c>
      <c r="L155" s="151">
        <f t="shared" si="48"/>
        <v>876.64777200000003</v>
      </c>
      <c r="M155" s="57">
        <f>IF(VLOOKUP(E155,'HOURLY RATES'!C$6:D$105,2,0)=0,$E$3,VLOOKUP(E155,'HOURLY RATES'!C$6:D$105,2,0))</f>
        <v>102</v>
      </c>
      <c r="N155" s="152">
        <f t="shared" si="49"/>
        <v>89418.072744000005</v>
      </c>
      <c r="O155" s="107">
        <v>2.1</v>
      </c>
      <c r="P155" s="107">
        <f t="shared" si="50"/>
        <v>45455.810400000002</v>
      </c>
      <c r="Q155" s="153">
        <f t="shared" si="51"/>
        <v>134873.88314400002</v>
      </c>
      <c r="R155" s="116"/>
      <c r="S155" s="129">
        <f t="shared" si="52"/>
        <v>8.0479228200000001</v>
      </c>
      <c r="T155" s="130">
        <f t="shared" si="53"/>
        <v>174202.31134273967</v>
      </c>
    </row>
    <row r="156" spans="1:20" s="7" customFormat="1" x14ac:dyDescent="0.25">
      <c r="A156" s="110">
        <f>IF(J156&lt;&gt;"",1+MAX($A$17:A155),"")</f>
        <v>116</v>
      </c>
      <c r="B156" s="104" t="s">
        <v>744</v>
      </c>
      <c r="C156" s="104" t="s">
        <v>745</v>
      </c>
      <c r="D156" s="102" t="s">
        <v>50</v>
      </c>
      <c r="E156" s="117" t="s">
        <v>168</v>
      </c>
      <c r="F156" s="240" t="s">
        <v>767</v>
      </c>
      <c r="G156" s="103">
        <f>108.47*30</f>
        <v>3254.1</v>
      </c>
      <c r="H156" s="51">
        <f>IF(VLOOKUP(J156,'HOURLY RATES'!B$116:C$124,2,0)=0,$J$3,VLOOKUP(J156,'HOURLY RATES'!B$116:C$124,2,0))</f>
        <v>0.05</v>
      </c>
      <c r="I156" s="52">
        <f t="shared" si="47"/>
        <v>3416.8049999999998</v>
      </c>
      <c r="J156" s="101" t="s">
        <v>253</v>
      </c>
      <c r="K156" s="150">
        <v>4.0500000000000001E-2</v>
      </c>
      <c r="L156" s="151">
        <f t="shared" si="48"/>
        <v>138.38060250000001</v>
      </c>
      <c r="M156" s="57">
        <f>IF(VLOOKUP(E156,'HOURLY RATES'!C$6:D$105,2,0)=0,$E$3,VLOOKUP(E156,'HOURLY RATES'!C$6:D$105,2,0))</f>
        <v>102</v>
      </c>
      <c r="N156" s="152">
        <f t="shared" si="49"/>
        <v>14114.821455000001</v>
      </c>
      <c r="O156" s="107">
        <v>2.1</v>
      </c>
      <c r="P156" s="107">
        <f t="shared" si="50"/>
        <v>7175.2905000000001</v>
      </c>
      <c r="Q156" s="153">
        <f t="shared" si="51"/>
        <v>21290.111955</v>
      </c>
      <c r="R156" s="116"/>
      <c r="S156" s="129">
        <f t="shared" si="52"/>
        <v>8.0479228200000001</v>
      </c>
      <c r="T156" s="130">
        <f t="shared" si="53"/>
        <v>27498.1829309901</v>
      </c>
    </row>
    <row r="157" spans="1:20" s="7" customFormat="1" x14ac:dyDescent="0.25">
      <c r="A157" s="110">
        <f>IF(J157&lt;&gt;"",1+MAX($A$17:A156),"")</f>
        <v>117</v>
      </c>
      <c r="B157" s="104" t="s">
        <v>744</v>
      </c>
      <c r="C157" s="104" t="s">
        <v>745</v>
      </c>
      <c r="D157" s="102" t="s">
        <v>50</v>
      </c>
      <c r="E157" s="117" t="s">
        <v>168</v>
      </c>
      <c r="F157" s="240" t="s">
        <v>768</v>
      </c>
      <c r="G157" s="103">
        <f>307.02*14</f>
        <v>4298.28</v>
      </c>
      <c r="H157" s="51">
        <f>IF(VLOOKUP(J157,'HOURLY RATES'!B$116:C$124,2,0)=0,$J$3,VLOOKUP(J157,'HOURLY RATES'!B$116:C$124,2,0))</f>
        <v>0.05</v>
      </c>
      <c r="I157" s="52">
        <f t="shared" si="47"/>
        <v>4513.1939999999995</v>
      </c>
      <c r="J157" s="101" t="s">
        <v>253</v>
      </c>
      <c r="K157" s="150">
        <v>4.0500000000000001E-2</v>
      </c>
      <c r="L157" s="151">
        <f t="shared" si="48"/>
        <v>182.78435699999997</v>
      </c>
      <c r="M157" s="57">
        <f>IF(VLOOKUP(E157,'HOURLY RATES'!C$6:D$105,2,0)=0,$E$3,VLOOKUP(E157,'HOURLY RATES'!C$6:D$105,2,0))</f>
        <v>102</v>
      </c>
      <c r="N157" s="152">
        <f t="shared" si="49"/>
        <v>18644.004413999995</v>
      </c>
      <c r="O157" s="107">
        <v>2.1</v>
      </c>
      <c r="P157" s="107">
        <f t="shared" si="50"/>
        <v>9477.7073999999993</v>
      </c>
      <c r="Q157" s="153">
        <f t="shared" si="51"/>
        <v>28121.711813999995</v>
      </c>
      <c r="R157" s="116"/>
      <c r="S157" s="129">
        <f t="shared" si="52"/>
        <v>8.0479228199999984</v>
      </c>
      <c r="T157" s="130">
        <f t="shared" si="53"/>
        <v>36321.83698368707</v>
      </c>
    </row>
    <row r="158" spans="1:20" s="7" customFormat="1" x14ac:dyDescent="0.25">
      <c r="A158" s="110">
        <f>IF(J158&lt;&gt;"",1+MAX($A$17:A157),"")</f>
        <v>118</v>
      </c>
      <c r="B158" s="104" t="s">
        <v>744</v>
      </c>
      <c r="C158" s="104" t="s">
        <v>745</v>
      </c>
      <c r="D158" s="102" t="s">
        <v>50</v>
      </c>
      <c r="E158" s="117" t="s">
        <v>168</v>
      </c>
      <c r="F158" s="240" t="s">
        <v>769</v>
      </c>
      <c r="G158" s="103">
        <f>1150.36*19</f>
        <v>21856.839999999997</v>
      </c>
      <c r="H158" s="51">
        <f>IF(VLOOKUP(J158,'HOURLY RATES'!B$116:C$124,2,0)=0,$J$3,VLOOKUP(J158,'HOURLY RATES'!B$116:C$124,2,0))</f>
        <v>0.05</v>
      </c>
      <c r="I158" s="52">
        <f t="shared" si="47"/>
        <v>22949.681999999997</v>
      </c>
      <c r="J158" s="101" t="s">
        <v>253</v>
      </c>
      <c r="K158" s="150">
        <v>4.0500000000000001E-2</v>
      </c>
      <c r="L158" s="151">
        <f t="shared" si="48"/>
        <v>929.46212099999991</v>
      </c>
      <c r="M158" s="57">
        <f>IF(VLOOKUP(E158,'HOURLY RATES'!C$6:D$105,2,0)=0,$E$3,VLOOKUP(E158,'HOURLY RATES'!C$6:D$105,2,0))</f>
        <v>102</v>
      </c>
      <c r="N158" s="152">
        <f t="shared" si="49"/>
        <v>94805.136341999998</v>
      </c>
      <c r="O158" s="107">
        <v>2.1</v>
      </c>
      <c r="P158" s="107">
        <f t="shared" si="50"/>
        <v>48194.332199999997</v>
      </c>
      <c r="Q158" s="153">
        <f t="shared" si="51"/>
        <v>142999.46854199999</v>
      </c>
      <c r="R158" s="116"/>
      <c r="S158" s="129">
        <f t="shared" si="52"/>
        <v>8.0479228200000001</v>
      </c>
      <c r="T158" s="130">
        <f t="shared" si="53"/>
        <v>184697.26947954323</v>
      </c>
    </row>
    <row r="159" spans="1:20" s="7" customFormat="1" x14ac:dyDescent="0.25">
      <c r="A159" s="110">
        <f>IF(J159&lt;&gt;"",1+MAX($A$17:A158),"")</f>
        <v>119</v>
      </c>
      <c r="B159" s="104" t="s">
        <v>744</v>
      </c>
      <c r="C159" s="104" t="s">
        <v>745</v>
      </c>
      <c r="D159" s="102" t="s">
        <v>50</v>
      </c>
      <c r="E159" s="117" t="s">
        <v>168</v>
      </c>
      <c r="F159" s="240" t="s">
        <v>770</v>
      </c>
      <c r="G159" s="103">
        <f>927.02*22</f>
        <v>20394.439999999999</v>
      </c>
      <c r="H159" s="51">
        <f>IF(VLOOKUP(J159,'HOURLY RATES'!B$116:C$124,2,0)=0,$J$3,VLOOKUP(J159,'HOURLY RATES'!B$116:C$124,2,0))</f>
        <v>0.05</v>
      </c>
      <c r="I159" s="52">
        <f t="shared" si="47"/>
        <v>21414.162</v>
      </c>
      <c r="J159" s="101" t="s">
        <v>253</v>
      </c>
      <c r="K159" s="150">
        <v>4.0500000000000001E-2</v>
      </c>
      <c r="L159" s="151">
        <f t="shared" si="48"/>
        <v>867.27356100000009</v>
      </c>
      <c r="M159" s="57">
        <f>IF(VLOOKUP(E159,'HOURLY RATES'!C$6:D$105,2,0)=0,$E$3,VLOOKUP(E159,'HOURLY RATES'!C$6:D$105,2,0))</f>
        <v>102</v>
      </c>
      <c r="N159" s="152">
        <f t="shared" si="49"/>
        <v>88461.903222000008</v>
      </c>
      <c r="O159" s="107">
        <v>2.1</v>
      </c>
      <c r="P159" s="107">
        <f t="shared" si="50"/>
        <v>44969.7402</v>
      </c>
      <c r="Q159" s="153">
        <f t="shared" si="51"/>
        <v>133431.64342199999</v>
      </c>
      <c r="R159" s="116"/>
      <c r="S159" s="129">
        <f t="shared" si="52"/>
        <v>8.0479228199999984</v>
      </c>
      <c r="T159" s="130">
        <f t="shared" si="53"/>
        <v>172339.52303097679</v>
      </c>
    </row>
    <row r="160" spans="1:20" s="7" customFormat="1" x14ac:dyDescent="0.25">
      <c r="A160" s="110">
        <f>IF(J160&lt;&gt;"",1+MAX($A$17:A159),"")</f>
        <v>120</v>
      </c>
      <c r="B160" s="104" t="s">
        <v>744</v>
      </c>
      <c r="C160" s="104" t="s">
        <v>745</v>
      </c>
      <c r="D160" s="102" t="s">
        <v>50</v>
      </c>
      <c r="E160" s="117" t="s">
        <v>168</v>
      </c>
      <c r="F160" s="240" t="s">
        <v>771</v>
      </c>
      <c r="G160" s="103">
        <f>44.58*26</f>
        <v>1159.08</v>
      </c>
      <c r="H160" s="51">
        <f>IF(VLOOKUP(J160,'HOURLY RATES'!B$116:C$124,2,0)=0,$J$3,VLOOKUP(J160,'HOURLY RATES'!B$116:C$124,2,0))</f>
        <v>0.05</v>
      </c>
      <c r="I160" s="52">
        <f t="shared" si="47"/>
        <v>1217.0339999999999</v>
      </c>
      <c r="J160" s="101" t="s">
        <v>253</v>
      </c>
      <c r="K160" s="150">
        <v>4.0500000000000001E-2</v>
      </c>
      <c r="L160" s="151">
        <f t="shared" si="48"/>
        <v>49.289876999999997</v>
      </c>
      <c r="M160" s="57">
        <f>IF(VLOOKUP(E160,'HOURLY RATES'!C$6:D$105,2,0)=0,$E$3,VLOOKUP(E160,'HOURLY RATES'!C$6:D$105,2,0))</f>
        <v>102</v>
      </c>
      <c r="N160" s="152">
        <f t="shared" si="49"/>
        <v>5027.567454</v>
      </c>
      <c r="O160" s="107">
        <v>2.1</v>
      </c>
      <c r="P160" s="107">
        <f t="shared" si="50"/>
        <v>2555.7713999999996</v>
      </c>
      <c r="Q160" s="153">
        <f t="shared" si="51"/>
        <v>7583.3388539999996</v>
      </c>
      <c r="R160" s="116"/>
      <c r="S160" s="129">
        <f t="shared" si="52"/>
        <v>8.0479228200000001</v>
      </c>
      <c r="T160" s="130">
        <f t="shared" si="53"/>
        <v>9794.5957013158786</v>
      </c>
    </row>
    <row r="161" spans="1:20" s="7" customFormat="1" x14ac:dyDescent="0.25">
      <c r="A161" s="110">
        <f>IF(J161&lt;&gt;"",1+MAX($A$17:A160),"")</f>
        <v>121</v>
      </c>
      <c r="B161" s="104" t="s">
        <v>744</v>
      </c>
      <c r="C161" s="104" t="s">
        <v>745</v>
      </c>
      <c r="D161" s="102" t="s">
        <v>50</v>
      </c>
      <c r="E161" s="117" t="s">
        <v>168</v>
      </c>
      <c r="F161" s="240" t="s">
        <v>772</v>
      </c>
      <c r="G161" s="103">
        <f>204.6*30</f>
        <v>6138</v>
      </c>
      <c r="H161" s="51">
        <f>IF(VLOOKUP(J161,'HOURLY RATES'!B$116:C$124,2,0)=0,$J$3,VLOOKUP(J161,'HOURLY RATES'!B$116:C$124,2,0))</f>
        <v>0.05</v>
      </c>
      <c r="I161" s="52">
        <f t="shared" si="47"/>
        <v>6444.9000000000005</v>
      </c>
      <c r="J161" s="101" t="s">
        <v>253</v>
      </c>
      <c r="K161" s="150">
        <v>4.0500000000000001E-2</v>
      </c>
      <c r="L161" s="151">
        <f t="shared" si="48"/>
        <v>261.01845000000003</v>
      </c>
      <c r="M161" s="57">
        <f>IF(VLOOKUP(E161,'HOURLY RATES'!C$6:D$105,2,0)=0,$E$3,VLOOKUP(E161,'HOURLY RATES'!C$6:D$105,2,0))</f>
        <v>102</v>
      </c>
      <c r="N161" s="152">
        <f t="shared" si="49"/>
        <v>26623.881900000004</v>
      </c>
      <c r="O161" s="107">
        <v>2.1</v>
      </c>
      <c r="P161" s="107">
        <f t="shared" si="50"/>
        <v>13534.29</v>
      </c>
      <c r="Q161" s="153">
        <f t="shared" si="51"/>
        <v>40158.171900000001</v>
      </c>
      <c r="R161" s="116"/>
      <c r="S161" s="129">
        <f t="shared" si="52"/>
        <v>8.0479228200000001</v>
      </c>
      <c r="T161" s="130">
        <f t="shared" si="53"/>
        <v>51868.057782618009</v>
      </c>
    </row>
    <row r="162" spans="1:20" s="7" customFormat="1" x14ac:dyDescent="0.25">
      <c r="A162" s="110">
        <f>IF(J162&lt;&gt;"",1+MAX($A$17:A161),"")</f>
        <v>122</v>
      </c>
      <c r="B162" s="104" t="s">
        <v>744</v>
      </c>
      <c r="C162" s="104" t="s">
        <v>745</v>
      </c>
      <c r="D162" s="102" t="s">
        <v>50</v>
      </c>
      <c r="E162" s="117" t="s">
        <v>168</v>
      </c>
      <c r="F162" s="240" t="s">
        <v>773</v>
      </c>
      <c r="G162" s="103">
        <f>125.39*38</f>
        <v>4764.82</v>
      </c>
      <c r="H162" s="51">
        <f>IF(VLOOKUP(J162,'HOURLY RATES'!B$116:C$124,2,0)=0,$J$3,VLOOKUP(J162,'HOURLY RATES'!B$116:C$124,2,0))</f>
        <v>0.05</v>
      </c>
      <c r="I162" s="52">
        <f t="shared" si="47"/>
        <v>5003.0609999999997</v>
      </c>
      <c r="J162" s="101" t="s">
        <v>253</v>
      </c>
      <c r="K162" s="150">
        <v>4.0500000000000001E-2</v>
      </c>
      <c r="L162" s="151">
        <f t="shared" si="48"/>
        <v>202.62397049999998</v>
      </c>
      <c r="M162" s="57">
        <f>IF(VLOOKUP(E162,'HOURLY RATES'!C$6:D$105,2,0)=0,$E$3,VLOOKUP(E162,'HOURLY RATES'!C$6:D$105,2,0))</f>
        <v>102</v>
      </c>
      <c r="N162" s="152">
        <f t="shared" si="49"/>
        <v>20667.644990999997</v>
      </c>
      <c r="O162" s="107">
        <v>2.1</v>
      </c>
      <c r="P162" s="107">
        <f t="shared" si="50"/>
        <v>10506.428099999999</v>
      </c>
      <c r="Q162" s="153">
        <f t="shared" si="51"/>
        <v>31174.073090999998</v>
      </c>
      <c r="R162" s="116"/>
      <c r="S162" s="129">
        <f t="shared" si="52"/>
        <v>8.0479228199999984</v>
      </c>
      <c r="T162" s="130">
        <f t="shared" si="53"/>
        <v>40264.248791752012</v>
      </c>
    </row>
    <row r="163" spans="1:20" s="7" customFormat="1" x14ac:dyDescent="0.25">
      <c r="A163" s="110">
        <f>IF(J163&lt;&gt;"",1+MAX($A$17:A162),"")</f>
        <v>123</v>
      </c>
      <c r="B163" s="104" t="s">
        <v>744</v>
      </c>
      <c r="C163" s="104" t="s">
        <v>745</v>
      </c>
      <c r="D163" s="102" t="s">
        <v>50</v>
      </c>
      <c r="E163" s="117" t="s">
        <v>168</v>
      </c>
      <c r="F163" s="240" t="s">
        <v>774</v>
      </c>
      <c r="G163" s="103">
        <f>2321.85*26</f>
        <v>60368.1</v>
      </c>
      <c r="H163" s="51">
        <f>IF(VLOOKUP(J163,'HOURLY RATES'!B$116:C$124,2,0)=0,$J$3,VLOOKUP(J163,'HOURLY RATES'!B$116:C$124,2,0))</f>
        <v>0.05</v>
      </c>
      <c r="I163" s="52">
        <f t="shared" si="47"/>
        <v>63386.505000000005</v>
      </c>
      <c r="J163" s="101" t="s">
        <v>253</v>
      </c>
      <c r="K163" s="150">
        <v>4.0500000000000001E-2</v>
      </c>
      <c r="L163" s="151">
        <f t="shared" si="48"/>
        <v>2567.1534525000002</v>
      </c>
      <c r="M163" s="57">
        <f>IF(VLOOKUP(E163,'HOURLY RATES'!C$6:D$105,2,0)=0,$E$3,VLOOKUP(E163,'HOURLY RATES'!C$6:D$105,2,0))</f>
        <v>102</v>
      </c>
      <c r="N163" s="152">
        <f t="shared" si="49"/>
        <v>261849.65215500002</v>
      </c>
      <c r="O163" s="107">
        <v>2.1</v>
      </c>
      <c r="P163" s="107">
        <f t="shared" si="50"/>
        <v>133111.66050000003</v>
      </c>
      <c r="Q163" s="153">
        <f t="shared" si="51"/>
        <v>394961.31265500002</v>
      </c>
      <c r="R163" s="116"/>
      <c r="S163" s="129">
        <f t="shared" si="52"/>
        <v>8.0479228200000001</v>
      </c>
      <c r="T163" s="130">
        <f t="shared" si="53"/>
        <v>510129.70006954414</v>
      </c>
    </row>
    <row r="164" spans="1:20" s="7" customFormat="1" x14ac:dyDescent="0.25">
      <c r="A164" s="110">
        <f>IF(J164&lt;&gt;"",1+MAX($A$17:A163),"")</f>
        <v>124</v>
      </c>
      <c r="B164" s="104" t="s">
        <v>744</v>
      </c>
      <c r="C164" s="104" t="s">
        <v>745</v>
      </c>
      <c r="D164" s="102" t="s">
        <v>50</v>
      </c>
      <c r="E164" s="117" t="s">
        <v>168</v>
      </c>
      <c r="F164" s="240" t="s">
        <v>775</v>
      </c>
      <c r="G164" s="103">
        <f>62.89*31</f>
        <v>1949.59</v>
      </c>
      <c r="H164" s="51">
        <f>IF(VLOOKUP(J164,'HOURLY RATES'!B$116:C$124,2,0)=0,$J$3,VLOOKUP(J164,'HOURLY RATES'!B$116:C$124,2,0))</f>
        <v>0.05</v>
      </c>
      <c r="I164" s="52">
        <f t="shared" si="47"/>
        <v>2047.0695000000001</v>
      </c>
      <c r="J164" s="101" t="s">
        <v>253</v>
      </c>
      <c r="K164" s="150">
        <v>4.0500000000000001E-2</v>
      </c>
      <c r="L164" s="151">
        <f t="shared" si="48"/>
        <v>82.906314750000007</v>
      </c>
      <c r="M164" s="57">
        <f>IF(VLOOKUP(E164,'HOURLY RATES'!C$6:D$105,2,0)=0,$E$3,VLOOKUP(E164,'HOURLY RATES'!C$6:D$105,2,0))</f>
        <v>102</v>
      </c>
      <c r="N164" s="152">
        <f t="shared" si="49"/>
        <v>8456.4441045000003</v>
      </c>
      <c r="O164" s="107">
        <v>2.1</v>
      </c>
      <c r="P164" s="107">
        <f t="shared" si="50"/>
        <v>4298.8459499999999</v>
      </c>
      <c r="Q164" s="153">
        <f t="shared" si="51"/>
        <v>12755.290054500001</v>
      </c>
      <c r="R164" s="116"/>
      <c r="S164" s="129">
        <f t="shared" si="52"/>
        <v>8.0479228200000001</v>
      </c>
      <c r="T164" s="130">
        <f t="shared" si="53"/>
        <v>16474.65734317599</v>
      </c>
    </row>
    <row r="165" spans="1:20" s="7" customFormat="1" x14ac:dyDescent="0.25">
      <c r="A165" s="110">
        <f>IF(J165&lt;&gt;"",1+MAX($A$17:A164),"")</f>
        <v>125</v>
      </c>
      <c r="B165" s="104" t="s">
        <v>744</v>
      </c>
      <c r="C165" s="104" t="s">
        <v>745</v>
      </c>
      <c r="D165" s="102" t="s">
        <v>50</v>
      </c>
      <c r="E165" s="117" t="s">
        <v>168</v>
      </c>
      <c r="F165" s="240" t="s">
        <v>776</v>
      </c>
      <c r="G165" s="103">
        <f>500*36</f>
        <v>18000</v>
      </c>
      <c r="H165" s="51">
        <f>IF(VLOOKUP(J165,'HOURLY RATES'!B$116:C$124,2,0)=0,$J$3,VLOOKUP(J165,'HOURLY RATES'!B$116:C$124,2,0))</f>
        <v>0.05</v>
      </c>
      <c r="I165" s="52">
        <f t="shared" si="47"/>
        <v>18900</v>
      </c>
      <c r="J165" s="101" t="s">
        <v>253</v>
      </c>
      <c r="K165" s="150">
        <v>4.0500000000000001E-2</v>
      </c>
      <c r="L165" s="151">
        <f t="shared" si="48"/>
        <v>765.45</v>
      </c>
      <c r="M165" s="57">
        <f>IF(VLOOKUP(E165,'HOURLY RATES'!C$6:D$105,2,0)=0,$E$3,VLOOKUP(E165,'HOURLY RATES'!C$6:D$105,2,0))</f>
        <v>102</v>
      </c>
      <c r="N165" s="152">
        <f t="shared" si="49"/>
        <v>78075.900000000009</v>
      </c>
      <c r="O165" s="107">
        <v>2.1</v>
      </c>
      <c r="P165" s="107">
        <f t="shared" si="50"/>
        <v>39690</v>
      </c>
      <c r="Q165" s="153">
        <f t="shared" si="51"/>
        <v>117765.90000000001</v>
      </c>
      <c r="R165" s="116"/>
      <c r="S165" s="129">
        <f t="shared" si="52"/>
        <v>8.0479228200000001</v>
      </c>
      <c r="T165" s="130">
        <f t="shared" si="53"/>
        <v>152105.74129800001</v>
      </c>
    </row>
    <row r="166" spans="1:20" s="7" customFormat="1" x14ac:dyDescent="0.25">
      <c r="A166" s="110">
        <f>IF(J166&lt;&gt;"",1+MAX($A$17:A165),"")</f>
        <v>126</v>
      </c>
      <c r="B166" s="104" t="s">
        <v>744</v>
      </c>
      <c r="C166" s="104" t="s">
        <v>745</v>
      </c>
      <c r="D166" s="102" t="s">
        <v>50</v>
      </c>
      <c r="E166" s="117" t="s">
        <v>168</v>
      </c>
      <c r="F166" s="240" t="s">
        <v>777</v>
      </c>
      <c r="G166" s="103">
        <f>1979.728*35</f>
        <v>69290.48</v>
      </c>
      <c r="H166" s="51">
        <f>IF(VLOOKUP(J166,'HOURLY RATES'!B$116:C$124,2,0)=0,$J$3,VLOOKUP(J166,'HOURLY RATES'!B$116:C$124,2,0))</f>
        <v>0.05</v>
      </c>
      <c r="I166" s="52">
        <f t="shared" si="47"/>
        <v>72755.004000000001</v>
      </c>
      <c r="J166" s="101" t="s">
        <v>253</v>
      </c>
      <c r="K166" s="150">
        <v>4.0500000000000001E-2</v>
      </c>
      <c r="L166" s="151">
        <f t="shared" si="48"/>
        <v>2946.5776620000001</v>
      </c>
      <c r="M166" s="57">
        <f>IF(VLOOKUP(E166,'HOURLY RATES'!C$6:D$105,2,0)=0,$E$3,VLOOKUP(E166,'HOURLY RATES'!C$6:D$105,2,0))</f>
        <v>102</v>
      </c>
      <c r="N166" s="152">
        <f t="shared" si="49"/>
        <v>300550.921524</v>
      </c>
      <c r="O166" s="107">
        <v>2.1</v>
      </c>
      <c r="P166" s="107">
        <f t="shared" si="50"/>
        <v>152785.50840000002</v>
      </c>
      <c r="Q166" s="153">
        <f t="shared" si="51"/>
        <v>453336.42992400005</v>
      </c>
      <c r="R166" s="116"/>
      <c r="S166" s="129">
        <f t="shared" si="52"/>
        <v>8.0479228199999984</v>
      </c>
      <c r="T166" s="130">
        <f t="shared" si="53"/>
        <v>585526.65696079121</v>
      </c>
    </row>
    <row r="167" spans="1:20" s="7" customFormat="1" x14ac:dyDescent="0.25">
      <c r="A167" s="110">
        <f>IF(J167&lt;&gt;"",1+MAX($A$17:A166),"")</f>
        <v>127</v>
      </c>
      <c r="B167" s="104" t="s">
        <v>744</v>
      </c>
      <c r="C167" s="104" t="s">
        <v>745</v>
      </c>
      <c r="D167" s="102" t="s">
        <v>50</v>
      </c>
      <c r="E167" s="117" t="s">
        <v>168</v>
      </c>
      <c r="F167" s="240" t="s">
        <v>778</v>
      </c>
      <c r="G167" s="103">
        <f>3060.5*40</f>
        <v>122420</v>
      </c>
      <c r="H167" s="51">
        <f>IF(VLOOKUP(J167,'HOURLY RATES'!B$116:C$124,2,0)=0,$J$3,VLOOKUP(J167,'HOURLY RATES'!B$116:C$124,2,0))</f>
        <v>0.05</v>
      </c>
      <c r="I167" s="52">
        <f t="shared" si="47"/>
        <v>128541</v>
      </c>
      <c r="J167" s="101" t="s">
        <v>253</v>
      </c>
      <c r="K167" s="150">
        <v>4.0500000000000001E-2</v>
      </c>
      <c r="L167" s="151">
        <f t="shared" si="48"/>
        <v>5205.9105</v>
      </c>
      <c r="M167" s="57">
        <f>IF(VLOOKUP(E167,'HOURLY RATES'!C$6:D$105,2,0)=0,$E$3,VLOOKUP(E167,'HOURLY RATES'!C$6:D$105,2,0))</f>
        <v>102</v>
      </c>
      <c r="N167" s="152">
        <f t="shared" si="49"/>
        <v>531002.87100000004</v>
      </c>
      <c r="O167" s="107">
        <v>2.1</v>
      </c>
      <c r="P167" s="107">
        <f t="shared" si="50"/>
        <v>269936.10000000003</v>
      </c>
      <c r="Q167" s="153">
        <f t="shared" si="51"/>
        <v>800938.97100000014</v>
      </c>
      <c r="R167" s="116"/>
      <c r="S167" s="129">
        <f t="shared" si="52"/>
        <v>8.0479228200000001</v>
      </c>
      <c r="T167" s="130">
        <f t="shared" si="53"/>
        <v>1034488.04720562</v>
      </c>
    </row>
    <row r="168" spans="1:20" s="7" customFormat="1" x14ac:dyDescent="0.25">
      <c r="A168" s="110">
        <f>IF(J168&lt;&gt;"",1+MAX($A$17:A167),"")</f>
        <v>128</v>
      </c>
      <c r="B168" s="104" t="s">
        <v>744</v>
      </c>
      <c r="C168" s="104" t="s">
        <v>745</v>
      </c>
      <c r="D168" s="102" t="s">
        <v>50</v>
      </c>
      <c r="E168" s="117" t="s">
        <v>168</v>
      </c>
      <c r="F168" s="240" t="s">
        <v>779</v>
      </c>
      <c r="G168" s="103">
        <f>29.73*46</f>
        <v>1367.58</v>
      </c>
      <c r="H168" s="51">
        <f>IF(VLOOKUP(J168,'HOURLY RATES'!B$116:C$124,2,0)=0,$J$3,VLOOKUP(J168,'HOURLY RATES'!B$116:C$124,2,0))</f>
        <v>0.05</v>
      </c>
      <c r="I168" s="52">
        <f t="shared" si="47"/>
        <v>1435.9590000000001</v>
      </c>
      <c r="J168" s="101" t="s">
        <v>253</v>
      </c>
      <c r="K168" s="150">
        <v>4.0500000000000001E-2</v>
      </c>
      <c r="L168" s="151">
        <f t="shared" si="48"/>
        <v>58.156339500000001</v>
      </c>
      <c r="M168" s="57">
        <f>IF(VLOOKUP(E168,'HOURLY RATES'!C$6:D$105,2,0)=0,$E$3,VLOOKUP(E168,'HOURLY RATES'!C$6:D$105,2,0))</f>
        <v>102</v>
      </c>
      <c r="N168" s="152">
        <f t="shared" si="49"/>
        <v>5931.946629</v>
      </c>
      <c r="O168" s="107">
        <v>2.1</v>
      </c>
      <c r="P168" s="107">
        <f t="shared" si="50"/>
        <v>3015.5139000000004</v>
      </c>
      <c r="Q168" s="153">
        <f t="shared" si="51"/>
        <v>8947.460529</v>
      </c>
      <c r="R168" s="116"/>
      <c r="S168" s="129">
        <f t="shared" si="52"/>
        <v>8.0479228199999984</v>
      </c>
      <c r="T168" s="130">
        <f t="shared" si="53"/>
        <v>11556.487204684378</v>
      </c>
    </row>
    <row r="169" spans="1:20" s="7" customFormat="1" x14ac:dyDescent="0.25">
      <c r="A169" s="110">
        <f>IF(J169&lt;&gt;"",1+MAX($A$17:A168),"")</f>
        <v>129</v>
      </c>
      <c r="B169" s="104" t="s">
        <v>744</v>
      </c>
      <c r="C169" s="104" t="s">
        <v>745</v>
      </c>
      <c r="D169" s="102" t="s">
        <v>50</v>
      </c>
      <c r="E169" s="117" t="s">
        <v>168</v>
      </c>
      <c r="F169" s="240" t="s">
        <v>780</v>
      </c>
      <c r="G169" s="103">
        <f>824.31*50</f>
        <v>41215.5</v>
      </c>
      <c r="H169" s="51">
        <f>IF(VLOOKUP(J169,'HOURLY RATES'!B$116:C$124,2,0)=0,$J$3,VLOOKUP(J169,'HOURLY RATES'!B$116:C$124,2,0))</f>
        <v>0.05</v>
      </c>
      <c r="I169" s="52">
        <f t="shared" si="47"/>
        <v>43276.275000000001</v>
      </c>
      <c r="J169" s="101" t="s">
        <v>253</v>
      </c>
      <c r="K169" s="150">
        <v>4.0500000000000001E-2</v>
      </c>
      <c r="L169" s="151">
        <f t="shared" si="48"/>
        <v>1752.6891375</v>
      </c>
      <c r="M169" s="57">
        <f>IF(VLOOKUP(E169,'HOURLY RATES'!C$6:D$105,2,0)=0,$E$3,VLOOKUP(E169,'HOURLY RATES'!C$6:D$105,2,0))</f>
        <v>102</v>
      </c>
      <c r="N169" s="152">
        <f t="shared" si="49"/>
        <v>178774.292025</v>
      </c>
      <c r="O169" s="107">
        <v>2.1</v>
      </c>
      <c r="P169" s="107">
        <f t="shared" si="50"/>
        <v>90880.177500000005</v>
      </c>
      <c r="Q169" s="153">
        <f t="shared" si="51"/>
        <v>269654.46952500002</v>
      </c>
      <c r="R169" s="116"/>
      <c r="S169" s="129">
        <f t="shared" si="52"/>
        <v>8.0479228199999984</v>
      </c>
      <c r="T169" s="130">
        <f t="shared" si="53"/>
        <v>348284.12113709544</v>
      </c>
    </row>
    <row r="170" spans="1:20" s="7" customFormat="1" x14ac:dyDescent="0.25">
      <c r="A170" s="110">
        <f>IF(J170&lt;&gt;"",1+MAX($A$17:A169),"")</f>
        <v>130</v>
      </c>
      <c r="B170" s="104" t="s">
        <v>744</v>
      </c>
      <c r="C170" s="104" t="s">
        <v>745</v>
      </c>
      <c r="D170" s="102" t="s">
        <v>50</v>
      </c>
      <c r="E170" s="117" t="s">
        <v>168</v>
      </c>
      <c r="F170" s="240" t="s">
        <v>781</v>
      </c>
      <c r="G170" s="103">
        <f>2637.51*44</f>
        <v>116050.44</v>
      </c>
      <c r="H170" s="51">
        <f>IF(VLOOKUP(J170,'HOURLY RATES'!B$116:C$124,2,0)=0,$J$3,VLOOKUP(J170,'HOURLY RATES'!B$116:C$124,2,0))</f>
        <v>0.05</v>
      </c>
      <c r="I170" s="52">
        <f t="shared" si="47"/>
        <v>121852.96200000001</v>
      </c>
      <c r="J170" s="101" t="s">
        <v>253</v>
      </c>
      <c r="K170" s="150">
        <v>4.0500000000000001E-2</v>
      </c>
      <c r="L170" s="151">
        <f t="shared" si="48"/>
        <v>4935.0449610000005</v>
      </c>
      <c r="M170" s="57">
        <f>IF(VLOOKUP(E170,'HOURLY RATES'!C$6:D$105,2,0)=0,$E$3,VLOOKUP(E170,'HOURLY RATES'!C$6:D$105,2,0))</f>
        <v>102</v>
      </c>
      <c r="N170" s="152">
        <f t="shared" si="49"/>
        <v>503374.58602200006</v>
      </c>
      <c r="O170" s="107">
        <v>2.1</v>
      </c>
      <c r="P170" s="107">
        <f t="shared" si="50"/>
        <v>255891.22020000004</v>
      </c>
      <c r="Q170" s="153">
        <f t="shared" si="51"/>
        <v>759265.80622200016</v>
      </c>
      <c r="R170" s="116"/>
      <c r="S170" s="129">
        <f t="shared" si="52"/>
        <v>8.0479228200000001</v>
      </c>
      <c r="T170" s="130">
        <f t="shared" si="53"/>
        <v>980663.23356439301</v>
      </c>
    </row>
    <row r="171" spans="1:20" s="7" customFormat="1" x14ac:dyDescent="0.25">
      <c r="A171" s="110">
        <f>IF(J171&lt;&gt;"",1+MAX($A$17:A170),"")</f>
        <v>131</v>
      </c>
      <c r="B171" s="104" t="s">
        <v>744</v>
      </c>
      <c r="C171" s="104" t="s">
        <v>745</v>
      </c>
      <c r="D171" s="102" t="s">
        <v>50</v>
      </c>
      <c r="E171" s="117" t="s">
        <v>168</v>
      </c>
      <c r="F171" s="240" t="s">
        <v>782</v>
      </c>
      <c r="G171" s="103">
        <f>43.18*48</f>
        <v>2072.64</v>
      </c>
      <c r="H171" s="51">
        <f>IF(VLOOKUP(J171,'HOURLY RATES'!B$116:C$124,2,0)=0,$J$3,VLOOKUP(J171,'HOURLY RATES'!B$116:C$124,2,0))</f>
        <v>0.05</v>
      </c>
      <c r="I171" s="52">
        <f t="shared" si="47"/>
        <v>2176.2719999999999</v>
      </c>
      <c r="J171" s="101" t="s">
        <v>253</v>
      </c>
      <c r="K171" s="150">
        <v>4.0500000000000001E-2</v>
      </c>
      <c r="L171" s="151">
        <f t="shared" si="48"/>
        <v>88.139015999999998</v>
      </c>
      <c r="M171" s="57">
        <f>IF(VLOOKUP(E171,'HOURLY RATES'!C$6:D$105,2,0)=0,$E$3,VLOOKUP(E171,'HOURLY RATES'!C$6:D$105,2,0))</f>
        <v>102</v>
      </c>
      <c r="N171" s="152">
        <f t="shared" si="49"/>
        <v>8990.1796319999994</v>
      </c>
      <c r="O171" s="107">
        <v>2.1</v>
      </c>
      <c r="P171" s="107">
        <f t="shared" si="50"/>
        <v>4570.1711999999998</v>
      </c>
      <c r="Q171" s="153">
        <f t="shared" si="51"/>
        <v>13560.350832</v>
      </c>
      <c r="R171" s="116"/>
      <c r="S171" s="129">
        <f t="shared" si="52"/>
        <v>8.0479228199999984</v>
      </c>
      <c r="T171" s="130">
        <f t="shared" si="53"/>
        <v>17514.469091327035</v>
      </c>
    </row>
    <row r="172" spans="1:20" s="7" customFormat="1" x14ac:dyDescent="0.25">
      <c r="A172" s="110">
        <f>IF(J172&lt;&gt;"",1+MAX($A$17:A171),"")</f>
        <v>132</v>
      </c>
      <c r="B172" s="104" t="s">
        <v>744</v>
      </c>
      <c r="C172" s="104" t="s">
        <v>745</v>
      </c>
      <c r="D172" s="102" t="s">
        <v>50</v>
      </c>
      <c r="E172" s="117" t="s">
        <v>168</v>
      </c>
      <c r="F172" s="240" t="s">
        <v>783</v>
      </c>
      <c r="G172" s="103">
        <f>62.34*50</f>
        <v>3117</v>
      </c>
      <c r="H172" s="51">
        <f>IF(VLOOKUP(J172,'HOURLY RATES'!B$116:C$124,2,0)=0,$J$3,VLOOKUP(J172,'HOURLY RATES'!B$116:C$124,2,0))</f>
        <v>0.05</v>
      </c>
      <c r="I172" s="52">
        <f t="shared" si="47"/>
        <v>3272.8500000000004</v>
      </c>
      <c r="J172" s="101" t="s">
        <v>253</v>
      </c>
      <c r="K172" s="150">
        <v>4.0500000000000001E-2</v>
      </c>
      <c r="L172" s="151">
        <f t="shared" si="48"/>
        <v>132.55042500000002</v>
      </c>
      <c r="M172" s="57">
        <f>IF(VLOOKUP(E172,'HOURLY RATES'!C$6:D$105,2,0)=0,$E$3,VLOOKUP(E172,'HOURLY RATES'!C$6:D$105,2,0))</f>
        <v>102</v>
      </c>
      <c r="N172" s="152">
        <f t="shared" si="49"/>
        <v>13520.143350000002</v>
      </c>
      <c r="O172" s="107">
        <v>2.1</v>
      </c>
      <c r="P172" s="107">
        <f t="shared" si="50"/>
        <v>6872.9850000000015</v>
      </c>
      <c r="Q172" s="153">
        <f t="shared" si="51"/>
        <v>20393.128350000003</v>
      </c>
      <c r="R172" s="116"/>
      <c r="S172" s="129">
        <f t="shared" si="52"/>
        <v>8.0479228199999984</v>
      </c>
      <c r="T172" s="130">
        <f t="shared" si="53"/>
        <v>26339.644201436997</v>
      </c>
    </row>
    <row r="173" spans="1:20" s="7" customFormat="1" x14ac:dyDescent="0.25">
      <c r="A173" s="110">
        <f>IF(J173&lt;&gt;"",1+MAX($A$17:A172),"")</f>
        <v>133</v>
      </c>
      <c r="B173" s="104" t="s">
        <v>744</v>
      </c>
      <c r="C173" s="104" t="s">
        <v>745</v>
      </c>
      <c r="D173" s="102" t="s">
        <v>50</v>
      </c>
      <c r="E173" s="117" t="s">
        <v>168</v>
      </c>
      <c r="F173" s="240" t="s">
        <v>784</v>
      </c>
      <c r="G173" s="103">
        <f>200.69*62</f>
        <v>12442.78</v>
      </c>
      <c r="H173" s="51">
        <f>IF(VLOOKUP(J173,'HOURLY RATES'!B$116:C$124,2,0)=0,$J$3,VLOOKUP(J173,'HOURLY RATES'!B$116:C$124,2,0))</f>
        <v>0.05</v>
      </c>
      <c r="I173" s="52">
        <f t="shared" si="47"/>
        <v>13064.919000000002</v>
      </c>
      <c r="J173" s="101" t="s">
        <v>253</v>
      </c>
      <c r="K173" s="150">
        <v>4.0500000000000001E-2</v>
      </c>
      <c r="L173" s="151">
        <f t="shared" si="48"/>
        <v>529.12921950000009</v>
      </c>
      <c r="M173" s="57">
        <f>IF(VLOOKUP(E173,'HOURLY RATES'!C$6:D$105,2,0)=0,$E$3,VLOOKUP(E173,'HOURLY RATES'!C$6:D$105,2,0))</f>
        <v>102</v>
      </c>
      <c r="N173" s="152">
        <f t="shared" si="49"/>
        <v>53971.180389000008</v>
      </c>
      <c r="O173" s="107">
        <v>2.1</v>
      </c>
      <c r="P173" s="107">
        <f t="shared" si="50"/>
        <v>27436.329900000004</v>
      </c>
      <c r="Q173" s="153">
        <f t="shared" si="51"/>
        <v>81407.510289000013</v>
      </c>
      <c r="R173" s="116"/>
      <c r="S173" s="129">
        <f t="shared" si="52"/>
        <v>8.0479228199999984</v>
      </c>
      <c r="T173" s="130">
        <f t="shared" si="53"/>
        <v>105145.45976155157</v>
      </c>
    </row>
    <row r="174" spans="1:20" s="7" customFormat="1" x14ac:dyDescent="0.25">
      <c r="A174" s="110">
        <f>IF(J174&lt;&gt;"",1+MAX($A$17:A173),"")</f>
        <v>134</v>
      </c>
      <c r="B174" s="104" t="s">
        <v>744</v>
      </c>
      <c r="C174" s="104" t="s">
        <v>745</v>
      </c>
      <c r="D174" s="102" t="s">
        <v>50</v>
      </c>
      <c r="E174" s="117" t="s">
        <v>168</v>
      </c>
      <c r="F174" s="240" t="s">
        <v>785</v>
      </c>
      <c r="G174" s="103">
        <f>34.73*68</f>
        <v>2361.64</v>
      </c>
      <c r="H174" s="51">
        <f>IF(VLOOKUP(J174,'HOURLY RATES'!B$116:C$124,2,0)=0,$J$3,VLOOKUP(J174,'HOURLY RATES'!B$116:C$124,2,0))</f>
        <v>0.05</v>
      </c>
      <c r="I174" s="52">
        <f t="shared" si="47"/>
        <v>2479.7219999999998</v>
      </c>
      <c r="J174" s="101" t="s">
        <v>253</v>
      </c>
      <c r="K174" s="150">
        <v>4.0500000000000001E-2</v>
      </c>
      <c r="L174" s="151">
        <f t="shared" si="48"/>
        <v>100.42874099999999</v>
      </c>
      <c r="M174" s="57">
        <f>IF(VLOOKUP(E174,'HOURLY RATES'!C$6:D$105,2,0)=0,$E$3,VLOOKUP(E174,'HOURLY RATES'!C$6:D$105,2,0))</f>
        <v>102</v>
      </c>
      <c r="N174" s="152">
        <f t="shared" si="49"/>
        <v>10243.731581999999</v>
      </c>
      <c r="O174" s="107">
        <v>2.1</v>
      </c>
      <c r="P174" s="107">
        <f t="shared" si="50"/>
        <v>5207.4161999999997</v>
      </c>
      <c r="Q174" s="153">
        <f t="shared" si="51"/>
        <v>15451.147781999998</v>
      </c>
      <c r="R174" s="116"/>
      <c r="S174" s="129">
        <f t="shared" si="52"/>
        <v>8.0479228200000001</v>
      </c>
      <c r="T174" s="130">
        <f t="shared" si="53"/>
        <v>19956.611271056037</v>
      </c>
    </row>
    <row r="175" spans="1:20" s="7" customFormat="1" x14ac:dyDescent="0.25">
      <c r="A175" s="110">
        <f>IF(J175&lt;&gt;"",1+MAX($A$17:A174),"")</f>
        <v>135</v>
      </c>
      <c r="B175" s="104" t="s">
        <v>744</v>
      </c>
      <c r="C175" s="104" t="s">
        <v>745</v>
      </c>
      <c r="D175" s="102" t="s">
        <v>50</v>
      </c>
      <c r="E175" s="117" t="s">
        <v>168</v>
      </c>
      <c r="F175" s="240" t="s">
        <v>786</v>
      </c>
      <c r="G175" s="103">
        <f>2323.72*83</f>
        <v>192868.75999999998</v>
      </c>
      <c r="H175" s="51">
        <f>IF(VLOOKUP(J175,'HOURLY RATES'!B$116:C$124,2,0)=0,$J$3,VLOOKUP(J175,'HOURLY RATES'!B$116:C$124,2,0))</f>
        <v>0.05</v>
      </c>
      <c r="I175" s="52">
        <f t="shared" si="47"/>
        <v>202512.19799999997</v>
      </c>
      <c r="J175" s="101" t="s">
        <v>253</v>
      </c>
      <c r="K175" s="150">
        <v>4.0500000000000001E-2</v>
      </c>
      <c r="L175" s="151">
        <f t="shared" si="48"/>
        <v>8201.7440189999998</v>
      </c>
      <c r="M175" s="57">
        <f>IF(VLOOKUP(E175,'HOURLY RATES'!C$6:D$105,2,0)=0,$E$3,VLOOKUP(E175,'HOURLY RATES'!C$6:D$105,2,0))</f>
        <v>102</v>
      </c>
      <c r="N175" s="152">
        <f t="shared" si="49"/>
        <v>836577.88993800001</v>
      </c>
      <c r="O175" s="107">
        <v>2.1</v>
      </c>
      <c r="P175" s="107">
        <f t="shared" si="50"/>
        <v>425275.61579999997</v>
      </c>
      <c r="Q175" s="153">
        <f t="shared" si="51"/>
        <v>1261853.5057379999</v>
      </c>
      <c r="R175" s="116"/>
      <c r="S175" s="129">
        <f t="shared" si="52"/>
        <v>8.0479228200000001</v>
      </c>
      <c r="T175" s="130">
        <f t="shared" si="53"/>
        <v>1629802.5396125582</v>
      </c>
    </row>
    <row r="176" spans="1:20" s="7" customFormat="1" x14ac:dyDescent="0.25">
      <c r="A176" s="110">
        <f>IF(J176&lt;&gt;"",1+MAX($A$17:A175),"")</f>
        <v>136</v>
      </c>
      <c r="B176" s="104" t="s">
        <v>744</v>
      </c>
      <c r="C176" s="104" t="s">
        <v>745</v>
      </c>
      <c r="D176" s="102" t="s">
        <v>50</v>
      </c>
      <c r="E176" s="117" t="s">
        <v>168</v>
      </c>
      <c r="F176" s="240" t="s">
        <v>787</v>
      </c>
      <c r="G176" s="103">
        <f>1490.05*55</f>
        <v>81952.75</v>
      </c>
      <c r="H176" s="51">
        <f>IF(VLOOKUP(J176,'HOURLY RATES'!B$116:C$124,2,0)=0,$J$3,VLOOKUP(J176,'HOURLY RATES'!B$116:C$124,2,0))</f>
        <v>0.05</v>
      </c>
      <c r="I176" s="52">
        <f t="shared" si="47"/>
        <v>86050.387499999997</v>
      </c>
      <c r="J176" s="101" t="s">
        <v>253</v>
      </c>
      <c r="K176" s="150">
        <v>4.0500000000000001E-2</v>
      </c>
      <c r="L176" s="151">
        <f t="shared" si="48"/>
        <v>3485.0406937500002</v>
      </c>
      <c r="M176" s="57">
        <f>IF(VLOOKUP(E176,'HOURLY RATES'!C$6:D$105,2,0)=0,$E$3,VLOOKUP(E176,'HOURLY RATES'!C$6:D$105,2,0))</f>
        <v>102</v>
      </c>
      <c r="N176" s="152">
        <f t="shared" si="49"/>
        <v>355474.15076250001</v>
      </c>
      <c r="O176" s="107">
        <v>2.1</v>
      </c>
      <c r="P176" s="107">
        <f t="shared" si="50"/>
        <v>180705.81375</v>
      </c>
      <c r="Q176" s="153">
        <f t="shared" si="51"/>
        <v>536179.96451249998</v>
      </c>
      <c r="R176" s="116"/>
      <c r="S176" s="129">
        <f t="shared" si="52"/>
        <v>8.0479228200000001</v>
      </c>
      <c r="T176" s="130">
        <f t="shared" si="53"/>
        <v>692526.87723109277</v>
      </c>
    </row>
    <row r="177" spans="1:20" s="7" customFormat="1" x14ac:dyDescent="0.25">
      <c r="A177" s="110">
        <f>IF(J177&lt;&gt;"",1+MAX($A$17:A176),"")</f>
        <v>137</v>
      </c>
      <c r="B177" s="104" t="s">
        <v>744</v>
      </c>
      <c r="C177" s="104" t="s">
        <v>745</v>
      </c>
      <c r="D177" s="102" t="s">
        <v>50</v>
      </c>
      <c r="E177" s="117" t="s">
        <v>168</v>
      </c>
      <c r="F177" s="240" t="s">
        <v>788</v>
      </c>
      <c r="G177" s="103">
        <f>209.07*62</f>
        <v>12962.34</v>
      </c>
      <c r="H177" s="51">
        <f>IF(VLOOKUP(J177,'HOURLY RATES'!B$116:C$124,2,0)=0,$J$3,VLOOKUP(J177,'HOURLY RATES'!B$116:C$124,2,0))</f>
        <v>0.05</v>
      </c>
      <c r="I177" s="52">
        <f t="shared" si="47"/>
        <v>13610.457</v>
      </c>
      <c r="J177" s="101" t="s">
        <v>253</v>
      </c>
      <c r="K177" s="150">
        <v>4.0500000000000001E-2</v>
      </c>
      <c r="L177" s="151">
        <f t="shared" si="48"/>
        <v>551.22350849999998</v>
      </c>
      <c r="M177" s="57">
        <f>IF(VLOOKUP(E177,'HOURLY RATES'!C$6:D$105,2,0)=0,$E$3,VLOOKUP(E177,'HOURLY RATES'!C$6:D$105,2,0))</f>
        <v>102</v>
      </c>
      <c r="N177" s="152">
        <f t="shared" si="49"/>
        <v>56224.797867000001</v>
      </c>
      <c r="O177" s="107">
        <v>2.1</v>
      </c>
      <c r="P177" s="107">
        <f t="shared" si="50"/>
        <v>28581.959700000003</v>
      </c>
      <c r="Q177" s="153">
        <f t="shared" si="51"/>
        <v>84806.757567000008</v>
      </c>
      <c r="R177" s="116"/>
      <c r="S177" s="129">
        <f t="shared" si="52"/>
        <v>8.0479228199999984</v>
      </c>
      <c r="T177" s="130">
        <f t="shared" si="53"/>
        <v>109535.90748092873</v>
      </c>
    </row>
    <row r="178" spans="1:20" s="7" customFormat="1" x14ac:dyDescent="0.25">
      <c r="A178" s="110">
        <f>IF(J178&lt;&gt;"",1+MAX($A$17:A177),"")</f>
        <v>138</v>
      </c>
      <c r="B178" s="104" t="s">
        <v>744</v>
      </c>
      <c r="C178" s="104" t="s">
        <v>745</v>
      </c>
      <c r="D178" s="102" t="s">
        <v>50</v>
      </c>
      <c r="E178" s="117" t="s">
        <v>168</v>
      </c>
      <c r="F178" s="240" t="s">
        <v>789</v>
      </c>
      <c r="G178" s="103">
        <f>160.4*68</f>
        <v>10907.2</v>
      </c>
      <c r="H178" s="51">
        <f>IF(VLOOKUP(J178,'HOURLY RATES'!B$116:C$124,2,0)=0,$J$3,VLOOKUP(J178,'HOURLY RATES'!B$116:C$124,2,0))</f>
        <v>0.05</v>
      </c>
      <c r="I178" s="52">
        <f t="shared" si="47"/>
        <v>11452.560000000001</v>
      </c>
      <c r="J178" s="101" t="s">
        <v>253</v>
      </c>
      <c r="K178" s="150">
        <v>4.0500000000000001E-2</v>
      </c>
      <c r="L178" s="151">
        <f t="shared" si="48"/>
        <v>463.82868000000008</v>
      </c>
      <c r="M178" s="57">
        <f>IF(VLOOKUP(E178,'HOURLY RATES'!C$6:D$105,2,0)=0,$E$3,VLOOKUP(E178,'HOURLY RATES'!C$6:D$105,2,0))</f>
        <v>102</v>
      </c>
      <c r="N178" s="152">
        <f t="shared" si="49"/>
        <v>47310.525360000007</v>
      </c>
      <c r="O178" s="107">
        <v>2.1</v>
      </c>
      <c r="P178" s="107">
        <f t="shared" si="50"/>
        <v>24050.376000000004</v>
      </c>
      <c r="Q178" s="153">
        <f t="shared" si="51"/>
        <v>71360.901360000018</v>
      </c>
      <c r="R178" s="116"/>
      <c r="S178" s="129">
        <f t="shared" si="52"/>
        <v>8.0479228200000001</v>
      </c>
      <c r="T178" s="130">
        <f t="shared" si="53"/>
        <v>92169.318971419212</v>
      </c>
    </row>
    <row r="179" spans="1:20" s="7" customFormat="1" x14ac:dyDescent="0.25">
      <c r="A179" s="110">
        <f>IF(J179&lt;&gt;"",1+MAX($A$17:A178),"")</f>
        <v>139</v>
      </c>
      <c r="B179" s="104" t="s">
        <v>744</v>
      </c>
      <c r="C179" s="104" t="s">
        <v>745</v>
      </c>
      <c r="D179" s="102" t="s">
        <v>50</v>
      </c>
      <c r="E179" s="117" t="s">
        <v>168</v>
      </c>
      <c r="F179" s="240" t="s">
        <v>790</v>
      </c>
      <c r="G179" s="103">
        <f>41.1*74</f>
        <v>3041.4</v>
      </c>
      <c r="H179" s="51">
        <f>IF(VLOOKUP(J179,'HOURLY RATES'!B$116:C$124,2,0)=0,$J$3,VLOOKUP(J179,'HOURLY RATES'!B$116:C$124,2,0))</f>
        <v>0.05</v>
      </c>
      <c r="I179" s="52">
        <f t="shared" si="47"/>
        <v>3193.4700000000003</v>
      </c>
      <c r="J179" s="101" t="s">
        <v>253</v>
      </c>
      <c r="K179" s="150">
        <v>4.0500000000000001E-2</v>
      </c>
      <c r="L179" s="151">
        <f t="shared" si="48"/>
        <v>129.33553500000002</v>
      </c>
      <c r="M179" s="57">
        <f>IF(VLOOKUP(E179,'HOURLY RATES'!C$6:D$105,2,0)=0,$E$3,VLOOKUP(E179,'HOURLY RATES'!C$6:D$105,2,0))</f>
        <v>102</v>
      </c>
      <c r="N179" s="152">
        <f t="shared" si="49"/>
        <v>13192.224570000002</v>
      </c>
      <c r="O179" s="107">
        <v>2.1</v>
      </c>
      <c r="P179" s="107">
        <f t="shared" si="50"/>
        <v>6706.2870000000012</v>
      </c>
      <c r="Q179" s="153">
        <f t="shared" si="51"/>
        <v>19898.511570000002</v>
      </c>
      <c r="R179" s="116"/>
      <c r="S179" s="129">
        <f t="shared" si="52"/>
        <v>8.0479228200000001</v>
      </c>
      <c r="T179" s="130">
        <f t="shared" si="53"/>
        <v>25700.800087985401</v>
      </c>
    </row>
    <row r="180" spans="1:20" s="7" customFormat="1" x14ac:dyDescent="0.25">
      <c r="A180" s="110">
        <f>IF(J180&lt;&gt;"",1+MAX($A$17:A179),"")</f>
        <v>140</v>
      </c>
      <c r="B180" s="104" t="s">
        <v>744</v>
      </c>
      <c r="C180" s="104" t="s">
        <v>745</v>
      </c>
      <c r="D180" s="102" t="s">
        <v>50</v>
      </c>
      <c r="E180" s="117" t="s">
        <v>168</v>
      </c>
      <c r="F180" s="240" t="s">
        <v>791</v>
      </c>
      <c r="G180" s="103">
        <f>89.47*76</f>
        <v>6799.72</v>
      </c>
      <c r="H180" s="51">
        <f>IF(VLOOKUP(J180,'HOURLY RATES'!B$116:C$124,2,0)=0,$J$3,VLOOKUP(J180,'HOURLY RATES'!B$116:C$124,2,0))</f>
        <v>0.05</v>
      </c>
      <c r="I180" s="52">
        <f t="shared" si="47"/>
        <v>7139.7060000000001</v>
      </c>
      <c r="J180" s="101" t="s">
        <v>253</v>
      </c>
      <c r="K180" s="150">
        <v>4.0500000000000001E-2</v>
      </c>
      <c r="L180" s="151">
        <f t="shared" si="48"/>
        <v>289.15809300000001</v>
      </c>
      <c r="M180" s="57">
        <f>IF(VLOOKUP(E180,'HOURLY RATES'!C$6:D$105,2,0)=0,$E$3,VLOOKUP(E180,'HOURLY RATES'!C$6:D$105,2,0))</f>
        <v>102</v>
      </c>
      <c r="N180" s="152">
        <f t="shared" si="49"/>
        <v>29494.125486000001</v>
      </c>
      <c r="O180" s="107">
        <v>2.1</v>
      </c>
      <c r="P180" s="107">
        <f t="shared" si="50"/>
        <v>14993.382600000001</v>
      </c>
      <c r="Q180" s="153">
        <f t="shared" si="51"/>
        <v>44487.508086000002</v>
      </c>
      <c r="R180" s="116"/>
      <c r="S180" s="129">
        <f t="shared" si="52"/>
        <v>8.0479228199999984</v>
      </c>
      <c r="T180" s="130">
        <f t="shared" si="53"/>
        <v>57459.802845490907</v>
      </c>
    </row>
    <row r="181" spans="1:20" s="7" customFormat="1" x14ac:dyDescent="0.25">
      <c r="A181" s="110">
        <f>IF(J181&lt;&gt;"",1+MAX($A$17:A180),"")</f>
        <v>141</v>
      </c>
      <c r="B181" s="104" t="s">
        <v>744</v>
      </c>
      <c r="C181" s="104" t="s">
        <v>745</v>
      </c>
      <c r="D181" s="102" t="s">
        <v>50</v>
      </c>
      <c r="E181" s="117" t="s">
        <v>168</v>
      </c>
      <c r="F181" s="240" t="s">
        <v>792</v>
      </c>
      <c r="G181" s="103">
        <f>998.22*84</f>
        <v>83850.48</v>
      </c>
      <c r="H181" s="51">
        <f>IF(VLOOKUP(J181,'HOURLY RATES'!B$116:C$124,2,0)=0,$J$3,VLOOKUP(J181,'HOURLY RATES'!B$116:C$124,2,0))</f>
        <v>0.05</v>
      </c>
      <c r="I181" s="52">
        <f t="shared" si="47"/>
        <v>88043.004000000001</v>
      </c>
      <c r="J181" s="101" t="s">
        <v>253</v>
      </c>
      <c r="K181" s="150">
        <v>4.0500000000000001E-2</v>
      </c>
      <c r="L181" s="151">
        <f t="shared" si="48"/>
        <v>3565.7416620000004</v>
      </c>
      <c r="M181" s="57">
        <f>IF(VLOOKUP(E181,'HOURLY RATES'!C$6:D$105,2,0)=0,$E$3,VLOOKUP(E181,'HOURLY RATES'!C$6:D$105,2,0))</f>
        <v>102</v>
      </c>
      <c r="N181" s="152">
        <f t="shared" si="49"/>
        <v>363705.64952400001</v>
      </c>
      <c r="O181" s="107">
        <v>2.1</v>
      </c>
      <c r="P181" s="107">
        <f t="shared" si="50"/>
        <v>184890.30840000001</v>
      </c>
      <c r="Q181" s="153">
        <f t="shared" si="51"/>
        <v>548595.95792399999</v>
      </c>
      <c r="R181" s="116"/>
      <c r="S181" s="129">
        <f t="shared" si="52"/>
        <v>8.0479228200000001</v>
      </c>
      <c r="T181" s="130">
        <f t="shared" si="53"/>
        <v>708563.30103295133</v>
      </c>
    </row>
    <row r="182" spans="1:20" s="7" customFormat="1" x14ac:dyDescent="0.25">
      <c r="A182" s="110">
        <f>IF(J182&lt;&gt;"",1+MAX($A$17:A181),"")</f>
        <v>142</v>
      </c>
      <c r="B182" s="104" t="s">
        <v>744</v>
      </c>
      <c r="C182" s="104" t="s">
        <v>745</v>
      </c>
      <c r="D182" s="102" t="s">
        <v>50</v>
      </c>
      <c r="E182" s="117" t="s">
        <v>168</v>
      </c>
      <c r="F182" s="240" t="s">
        <v>793</v>
      </c>
      <c r="G182" s="103">
        <f>340.15*84</f>
        <v>28572.6</v>
      </c>
      <c r="H182" s="51">
        <f>IF(VLOOKUP(J182,'HOURLY RATES'!B$116:C$124,2,0)=0,$J$3,VLOOKUP(J182,'HOURLY RATES'!B$116:C$124,2,0))</f>
        <v>0.05</v>
      </c>
      <c r="I182" s="52">
        <f t="shared" si="47"/>
        <v>30001.23</v>
      </c>
      <c r="J182" s="101" t="s">
        <v>253</v>
      </c>
      <c r="K182" s="150">
        <v>4.0500000000000001E-2</v>
      </c>
      <c r="L182" s="151">
        <f t="shared" si="48"/>
        <v>1215.0498150000001</v>
      </c>
      <c r="M182" s="57">
        <f>IF(VLOOKUP(E182,'HOURLY RATES'!C$6:D$105,2,0)=0,$E$3,VLOOKUP(E182,'HOURLY RATES'!C$6:D$105,2,0))</f>
        <v>102</v>
      </c>
      <c r="N182" s="152">
        <f t="shared" si="49"/>
        <v>123935.08113000001</v>
      </c>
      <c r="O182" s="107">
        <v>2.1</v>
      </c>
      <c r="P182" s="107">
        <f t="shared" si="50"/>
        <v>63002.582999999999</v>
      </c>
      <c r="Q182" s="153">
        <f t="shared" si="51"/>
        <v>186937.66412999999</v>
      </c>
      <c r="R182" s="116"/>
      <c r="S182" s="129">
        <f t="shared" si="52"/>
        <v>8.0479228200000001</v>
      </c>
      <c r="T182" s="130">
        <f t="shared" si="53"/>
        <v>241447.5835450686</v>
      </c>
    </row>
    <row r="183" spans="1:20" s="7" customFormat="1" x14ac:dyDescent="0.25">
      <c r="A183" s="110">
        <f>IF(J183&lt;&gt;"",1+MAX($A$17:A182),"")</f>
        <v>143</v>
      </c>
      <c r="B183" s="104" t="s">
        <v>744</v>
      </c>
      <c r="C183" s="104" t="s">
        <v>745</v>
      </c>
      <c r="D183" s="102" t="s">
        <v>50</v>
      </c>
      <c r="E183" s="117" t="s">
        <v>168</v>
      </c>
      <c r="F183" s="240" t="s">
        <v>794</v>
      </c>
      <c r="G183" s="103">
        <f>83.01*94</f>
        <v>7802.9400000000005</v>
      </c>
      <c r="H183" s="51">
        <f>IF(VLOOKUP(J183,'HOURLY RATES'!B$116:C$124,2,0)=0,$J$3,VLOOKUP(J183,'HOURLY RATES'!B$116:C$124,2,0))</f>
        <v>0.05</v>
      </c>
      <c r="I183" s="52">
        <f t="shared" si="47"/>
        <v>8193.0870000000014</v>
      </c>
      <c r="J183" s="101" t="s">
        <v>253</v>
      </c>
      <c r="K183" s="150">
        <v>4.0500000000000001E-2</v>
      </c>
      <c r="L183" s="151">
        <f t="shared" si="48"/>
        <v>331.82002350000005</v>
      </c>
      <c r="M183" s="57">
        <f>IF(VLOOKUP(E183,'HOURLY RATES'!C$6:D$105,2,0)=0,$E$3,VLOOKUP(E183,'HOURLY RATES'!C$6:D$105,2,0))</f>
        <v>102</v>
      </c>
      <c r="N183" s="152">
        <f t="shared" si="49"/>
        <v>33845.642397000003</v>
      </c>
      <c r="O183" s="107">
        <v>2.1</v>
      </c>
      <c r="P183" s="107">
        <f t="shared" si="50"/>
        <v>17205.482700000004</v>
      </c>
      <c r="Q183" s="153">
        <f t="shared" si="51"/>
        <v>51051.125097000011</v>
      </c>
      <c r="R183" s="116"/>
      <c r="S183" s="129">
        <f t="shared" si="52"/>
        <v>8.0479228199999984</v>
      </c>
      <c r="T183" s="130">
        <f t="shared" si="53"/>
        <v>65937.331833545337</v>
      </c>
    </row>
    <row r="184" spans="1:20" s="7" customFormat="1" x14ac:dyDescent="0.25">
      <c r="A184" s="110">
        <f>IF(J184&lt;&gt;"",1+MAX($A$17:A183),"")</f>
        <v>144</v>
      </c>
      <c r="B184" s="104" t="s">
        <v>744</v>
      </c>
      <c r="C184" s="104" t="s">
        <v>745</v>
      </c>
      <c r="D184" s="102" t="s">
        <v>50</v>
      </c>
      <c r="E184" s="117" t="s">
        <v>168</v>
      </c>
      <c r="F184" s="240" t="s">
        <v>795</v>
      </c>
      <c r="G184" s="103">
        <f>41.18*102</f>
        <v>4200.3599999999997</v>
      </c>
      <c r="H184" s="51">
        <f>IF(VLOOKUP(J184,'HOURLY RATES'!B$116:C$124,2,0)=0,$J$3,VLOOKUP(J184,'HOURLY RATES'!B$116:C$124,2,0))</f>
        <v>0.05</v>
      </c>
      <c r="I184" s="52">
        <f t="shared" si="47"/>
        <v>4410.3779999999997</v>
      </c>
      <c r="J184" s="101" t="s">
        <v>253</v>
      </c>
      <c r="K184" s="150">
        <v>4.0500000000000001E-2</v>
      </c>
      <c r="L184" s="151">
        <f t="shared" si="48"/>
        <v>178.62030899999999</v>
      </c>
      <c r="M184" s="57">
        <f>IF(VLOOKUP(E184,'HOURLY RATES'!C$6:D$105,2,0)=0,$E$3,VLOOKUP(E184,'HOURLY RATES'!C$6:D$105,2,0))</f>
        <v>102</v>
      </c>
      <c r="N184" s="152">
        <f t="shared" si="49"/>
        <v>18219.271517999998</v>
      </c>
      <c r="O184" s="107">
        <v>2.1</v>
      </c>
      <c r="P184" s="107">
        <f t="shared" si="50"/>
        <v>9261.7937999999995</v>
      </c>
      <c r="Q184" s="153">
        <f t="shared" si="51"/>
        <v>27481.065317999997</v>
      </c>
      <c r="R184" s="116"/>
      <c r="S184" s="129">
        <f t="shared" si="52"/>
        <v>8.0479228199999984</v>
      </c>
      <c r="T184" s="130">
        <f t="shared" si="53"/>
        <v>35494.381751025947</v>
      </c>
    </row>
    <row r="185" spans="1:20" s="7" customFormat="1" x14ac:dyDescent="0.25">
      <c r="A185" s="110">
        <f>IF(J185&lt;&gt;"",1+MAX($A$17:A184),"")</f>
        <v>145</v>
      </c>
      <c r="B185" s="104" t="s">
        <v>744</v>
      </c>
      <c r="C185" s="104" t="s">
        <v>745</v>
      </c>
      <c r="D185" s="102" t="s">
        <v>50</v>
      </c>
      <c r="E185" s="117" t="s">
        <v>168</v>
      </c>
      <c r="F185" s="240" t="s">
        <v>796</v>
      </c>
      <c r="G185" s="103">
        <f>41.73*108</f>
        <v>4506.8399999999992</v>
      </c>
      <c r="H185" s="51">
        <f>IF(VLOOKUP(J185,'HOURLY RATES'!B$116:C$124,2,0)=0,$J$3,VLOOKUP(J185,'HOURLY RATES'!B$116:C$124,2,0))</f>
        <v>0.05</v>
      </c>
      <c r="I185" s="52">
        <f t="shared" si="47"/>
        <v>4732.1819999999998</v>
      </c>
      <c r="J185" s="101" t="s">
        <v>253</v>
      </c>
      <c r="K185" s="150">
        <v>4.0500000000000001E-2</v>
      </c>
      <c r="L185" s="151">
        <f t="shared" si="48"/>
        <v>191.65337099999999</v>
      </c>
      <c r="M185" s="57">
        <f>IF(VLOOKUP(E185,'HOURLY RATES'!C$6:D$105,2,0)=0,$E$3,VLOOKUP(E185,'HOURLY RATES'!C$6:D$105,2,0))</f>
        <v>102</v>
      </c>
      <c r="N185" s="152">
        <f t="shared" si="49"/>
        <v>19548.643841999998</v>
      </c>
      <c r="O185" s="107">
        <v>2.1</v>
      </c>
      <c r="P185" s="107">
        <f t="shared" si="50"/>
        <v>9937.5822000000007</v>
      </c>
      <c r="Q185" s="153">
        <f t="shared" si="51"/>
        <v>29486.226041999998</v>
      </c>
      <c r="R185" s="116"/>
      <c r="S185" s="129">
        <f t="shared" si="52"/>
        <v>8.0479228199999984</v>
      </c>
      <c r="T185" s="130">
        <f t="shared" si="53"/>
        <v>38084.235506193232</v>
      </c>
    </row>
    <row r="186" spans="1:20" s="7" customFormat="1" x14ac:dyDescent="0.25">
      <c r="A186" s="110">
        <f>IF(J186&lt;&gt;"",1+MAX($A$17:A185),"")</f>
        <v>146</v>
      </c>
      <c r="B186" s="104" t="s">
        <v>744</v>
      </c>
      <c r="C186" s="104" t="s">
        <v>745</v>
      </c>
      <c r="D186" s="102" t="s">
        <v>50</v>
      </c>
      <c r="E186" s="117" t="s">
        <v>168</v>
      </c>
      <c r="F186" s="240" t="s">
        <v>797</v>
      </c>
      <c r="G186" s="103">
        <f>41.67*124</f>
        <v>5167.08</v>
      </c>
      <c r="H186" s="51">
        <f>IF(VLOOKUP(J186,'HOURLY RATES'!B$116:C$124,2,0)=0,$J$3,VLOOKUP(J186,'HOURLY RATES'!B$116:C$124,2,0))</f>
        <v>0.05</v>
      </c>
      <c r="I186" s="52">
        <f t="shared" si="47"/>
        <v>5425.4340000000002</v>
      </c>
      <c r="J186" s="101" t="s">
        <v>253</v>
      </c>
      <c r="K186" s="150">
        <v>4.0500000000000001E-2</v>
      </c>
      <c r="L186" s="151">
        <f t="shared" si="48"/>
        <v>219.73007700000002</v>
      </c>
      <c r="M186" s="57">
        <f>IF(VLOOKUP(E186,'HOURLY RATES'!C$6:D$105,2,0)=0,$E$3,VLOOKUP(E186,'HOURLY RATES'!C$6:D$105,2,0))</f>
        <v>102</v>
      </c>
      <c r="N186" s="152">
        <f t="shared" si="49"/>
        <v>22412.467854000002</v>
      </c>
      <c r="O186" s="107">
        <v>2.1</v>
      </c>
      <c r="P186" s="107">
        <f t="shared" si="50"/>
        <v>11393.411400000001</v>
      </c>
      <c r="Q186" s="153">
        <f t="shared" si="51"/>
        <v>33805.879253999999</v>
      </c>
      <c r="R186" s="116"/>
      <c r="S186" s="129">
        <f t="shared" si="52"/>
        <v>8.0479228199999984</v>
      </c>
      <c r="T186" s="130">
        <f t="shared" si="53"/>
        <v>43663.474097003869</v>
      </c>
    </row>
    <row r="187" spans="1:20" s="7" customFormat="1" x14ac:dyDescent="0.25">
      <c r="A187" s="110">
        <f>IF(J187&lt;&gt;"",1+MAX($A$17:A186),"")</f>
        <v>147</v>
      </c>
      <c r="B187" s="104" t="s">
        <v>744</v>
      </c>
      <c r="C187" s="104" t="s">
        <v>745</v>
      </c>
      <c r="D187" s="102" t="s">
        <v>50</v>
      </c>
      <c r="E187" s="117" t="s">
        <v>168</v>
      </c>
      <c r="F187" s="240" t="s">
        <v>904</v>
      </c>
      <c r="G187" s="103">
        <f>899.54*19.08</f>
        <v>17163.223199999997</v>
      </c>
      <c r="H187" s="51">
        <f>IF(VLOOKUP(J187,'HOURLY RATES'!B$116:C$124,2,0)=0,$J$3,VLOOKUP(J187,'HOURLY RATES'!B$116:C$124,2,0))</f>
        <v>0.05</v>
      </c>
      <c r="I187" s="52">
        <f t="shared" si="47"/>
        <v>18021.384359999996</v>
      </c>
      <c r="J187" s="101" t="s">
        <v>253</v>
      </c>
      <c r="K187" s="150">
        <v>4.3200000000000002E-2</v>
      </c>
      <c r="L187" s="151">
        <f t="shared" si="48"/>
        <v>778.52380435199984</v>
      </c>
      <c r="M187" s="57">
        <f>IF(VLOOKUP(E187,'HOURLY RATES'!C$6:D$105,2,0)=0,$E$3,VLOOKUP(E187,'HOURLY RATES'!C$6:D$105,2,0))</f>
        <v>102</v>
      </c>
      <c r="N187" s="152">
        <f t="shared" si="49"/>
        <v>79409.428043903987</v>
      </c>
      <c r="O187" s="107">
        <v>2.6</v>
      </c>
      <c r="P187" s="107">
        <f t="shared" si="50"/>
        <v>46855.599335999992</v>
      </c>
      <c r="Q187" s="153">
        <f t="shared" si="51"/>
        <v>126265.02737990397</v>
      </c>
      <c r="R187" s="116"/>
      <c r="S187" s="129">
        <f t="shared" si="52"/>
        <v>9.0656024199999994</v>
      </c>
      <c r="T187" s="130">
        <f t="shared" si="53"/>
        <v>163374.70566576612</v>
      </c>
    </row>
    <row r="188" spans="1:20" s="7" customFormat="1" x14ac:dyDescent="0.25">
      <c r="A188" s="110">
        <f>IF(J188&lt;&gt;"",1+MAX($A$17:A187),"")</f>
        <v>148</v>
      </c>
      <c r="B188" s="104" t="s">
        <v>744</v>
      </c>
      <c r="C188" s="104" t="s">
        <v>745</v>
      </c>
      <c r="D188" s="102" t="s">
        <v>50</v>
      </c>
      <c r="E188" s="117" t="s">
        <v>168</v>
      </c>
      <c r="F188" s="240" t="s">
        <v>905</v>
      </c>
      <c r="G188" s="103">
        <f>88.56*35.24</f>
        <v>3120.8544000000002</v>
      </c>
      <c r="H188" s="51">
        <f>IF(VLOOKUP(J188,'HOURLY RATES'!B$116:C$124,2,0)=0,$J$3,VLOOKUP(J188,'HOURLY RATES'!B$116:C$124,2,0))</f>
        <v>0.05</v>
      </c>
      <c r="I188" s="52">
        <f t="shared" si="47"/>
        <v>3276.8971200000005</v>
      </c>
      <c r="J188" s="101" t="s">
        <v>253</v>
      </c>
      <c r="K188" s="150">
        <v>4.3200000000000002E-2</v>
      </c>
      <c r="L188" s="151">
        <f t="shared" si="48"/>
        <v>141.56195558400003</v>
      </c>
      <c r="M188" s="57">
        <f>IF(VLOOKUP(E188,'HOURLY RATES'!C$6:D$105,2,0)=0,$E$3,VLOOKUP(E188,'HOURLY RATES'!C$6:D$105,2,0))</f>
        <v>102</v>
      </c>
      <c r="N188" s="152">
        <f t="shared" si="49"/>
        <v>14439.319469568003</v>
      </c>
      <c r="O188" s="107">
        <v>2.6</v>
      </c>
      <c r="P188" s="107">
        <f t="shared" si="50"/>
        <v>8519.9325120000012</v>
      </c>
      <c r="Q188" s="153">
        <f t="shared" si="51"/>
        <v>22959.251981568006</v>
      </c>
      <c r="R188" s="116"/>
      <c r="S188" s="129">
        <f t="shared" si="52"/>
        <v>9.0656024199999994</v>
      </c>
      <c r="T188" s="130">
        <f t="shared" si="53"/>
        <v>29707.046461163034</v>
      </c>
    </row>
    <row r="189" spans="1:20" s="7" customFormat="1" x14ac:dyDescent="0.25">
      <c r="A189" s="110">
        <f>IF(J189&lt;&gt;"",1+MAX($A$17:A188),"")</f>
        <v>149</v>
      </c>
      <c r="B189" s="104" t="s">
        <v>744</v>
      </c>
      <c r="C189" s="104" t="s">
        <v>745</v>
      </c>
      <c r="D189" s="102" t="s">
        <v>50</v>
      </c>
      <c r="E189" s="117" t="s">
        <v>168</v>
      </c>
      <c r="F189" s="240" t="s">
        <v>906</v>
      </c>
      <c r="G189" s="103">
        <f>773.94*27.5</f>
        <v>21283.350000000002</v>
      </c>
      <c r="H189" s="51">
        <f>IF(VLOOKUP(J189,'HOURLY RATES'!B$116:C$124,2,0)=0,$J$3,VLOOKUP(J189,'HOURLY RATES'!B$116:C$124,2,0))</f>
        <v>0.05</v>
      </c>
      <c r="I189" s="52">
        <f t="shared" si="47"/>
        <v>22347.517500000002</v>
      </c>
      <c r="J189" s="101" t="s">
        <v>253</v>
      </c>
      <c r="K189" s="150">
        <v>4.3200000000000002E-2</v>
      </c>
      <c r="L189" s="151">
        <f t="shared" si="48"/>
        <v>965.41275600000017</v>
      </c>
      <c r="M189" s="57">
        <f>IF(VLOOKUP(E189,'HOURLY RATES'!C$6:D$105,2,0)=0,$E$3,VLOOKUP(E189,'HOURLY RATES'!C$6:D$105,2,0))</f>
        <v>102</v>
      </c>
      <c r="N189" s="152">
        <f t="shared" si="49"/>
        <v>98472.101112000018</v>
      </c>
      <c r="O189" s="107">
        <v>2.6</v>
      </c>
      <c r="P189" s="107">
        <f t="shared" si="50"/>
        <v>58103.545500000007</v>
      </c>
      <c r="Q189" s="153">
        <f t="shared" si="51"/>
        <v>156575.64661200001</v>
      </c>
      <c r="R189" s="116"/>
      <c r="S189" s="129">
        <f t="shared" si="52"/>
        <v>9.0656024199999994</v>
      </c>
      <c r="T189" s="130">
        <f t="shared" si="53"/>
        <v>202593.70872899235</v>
      </c>
    </row>
    <row r="190" spans="1:20" s="7" customFormat="1" x14ac:dyDescent="0.25">
      <c r="A190" s="110">
        <f>IF(J190&lt;&gt;"",1+MAX($A$17:A189),"")</f>
        <v>150</v>
      </c>
      <c r="B190" s="104" t="s">
        <v>744</v>
      </c>
      <c r="C190" s="104" t="s">
        <v>745</v>
      </c>
      <c r="D190" s="102" t="s">
        <v>50</v>
      </c>
      <c r="E190" s="117" t="s">
        <v>168</v>
      </c>
      <c r="F190" s="240" t="s">
        <v>907</v>
      </c>
      <c r="G190" s="103">
        <f>254.71*40.35</f>
        <v>10277.548500000001</v>
      </c>
      <c r="H190" s="51">
        <f>IF(VLOOKUP(J190,'HOURLY RATES'!B$116:C$124,2,0)=0,$J$3,VLOOKUP(J190,'HOURLY RATES'!B$116:C$124,2,0))</f>
        <v>0.05</v>
      </c>
      <c r="I190" s="52">
        <f t="shared" si="47"/>
        <v>10791.425925000001</v>
      </c>
      <c r="J190" s="101" t="s">
        <v>253</v>
      </c>
      <c r="K190" s="150">
        <v>4.3200000000000002E-2</v>
      </c>
      <c r="L190" s="151">
        <f t="shared" si="48"/>
        <v>466.18959996000007</v>
      </c>
      <c r="M190" s="57">
        <f>IF(VLOOKUP(E190,'HOURLY RATES'!C$6:D$105,2,0)=0,$E$3,VLOOKUP(E190,'HOURLY RATES'!C$6:D$105,2,0))</f>
        <v>102</v>
      </c>
      <c r="N190" s="152">
        <f t="shared" si="49"/>
        <v>47551.339195920009</v>
      </c>
      <c r="O190" s="107">
        <v>2.6</v>
      </c>
      <c r="P190" s="107">
        <f t="shared" si="50"/>
        <v>28057.707405000005</v>
      </c>
      <c r="Q190" s="153">
        <f t="shared" si="51"/>
        <v>75609.046600920017</v>
      </c>
      <c r="R190" s="116"/>
      <c r="S190" s="129">
        <f t="shared" si="52"/>
        <v>9.0656024199999994</v>
      </c>
      <c r="T190" s="130">
        <f t="shared" si="53"/>
        <v>97830.77698093075</v>
      </c>
    </row>
    <row r="191" spans="1:20" s="7" customFormat="1" x14ac:dyDescent="0.25">
      <c r="A191" s="110">
        <f>IF(J191&lt;&gt;"",1+MAX($A$17:A190),"")</f>
        <v>151</v>
      </c>
      <c r="B191" s="104" t="s">
        <v>744</v>
      </c>
      <c r="C191" s="104" t="s">
        <v>745</v>
      </c>
      <c r="D191" s="102" t="s">
        <v>50</v>
      </c>
      <c r="E191" s="117" t="s">
        <v>168</v>
      </c>
      <c r="F191" s="240" t="s">
        <v>908</v>
      </c>
      <c r="G191" s="103">
        <f>127.48*76.07</f>
        <v>9697.4035999999996</v>
      </c>
      <c r="H191" s="51">
        <f>IF(VLOOKUP(J191,'HOURLY RATES'!B$116:C$124,2,0)=0,$J$3,VLOOKUP(J191,'HOURLY RATES'!B$116:C$124,2,0))</f>
        <v>0.05</v>
      </c>
      <c r="I191" s="52">
        <f t="shared" si="47"/>
        <v>10182.27378</v>
      </c>
      <c r="J191" s="101" t="s">
        <v>253</v>
      </c>
      <c r="K191" s="150">
        <v>4.3200000000000002E-2</v>
      </c>
      <c r="L191" s="151">
        <f t="shared" si="48"/>
        <v>439.87422729600002</v>
      </c>
      <c r="M191" s="57">
        <f>IF(VLOOKUP(E191,'HOURLY RATES'!C$6:D$105,2,0)=0,$E$3,VLOOKUP(E191,'HOURLY RATES'!C$6:D$105,2,0))</f>
        <v>102</v>
      </c>
      <c r="N191" s="152">
        <f t="shared" si="49"/>
        <v>44867.171184192004</v>
      </c>
      <c r="O191" s="107">
        <v>2.6</v>
      </c>
      <c r="P191" s="107">
        <f t="shared" si="50"/>
        <v>26473.911828</v>
      </c>
      <c r="Q191" s="153">
        <f t="shared" si="51"/>
        <v>71341.083012192001</v>
      </c>
      <c r="R191" s="116"/>
      <c r="S191" s="129">
        <f t="shared" si="52"/>
        <v>9.0656024200000012</v>
      </c>
      <c r="T191" s="130">
        <f t="shared" si="53"/>
        <v>92308.445821070549</v>
      </c>
    </row>
    <row r="192" spans="1:20" s="7" customFormat="1" x14ac:dyDescent="0.25">
      <c r="A192" s="110">
        <f>IF(J192&lt;&gt;"",1+MAX($A$17:A191),"")</f>
        <v>152</v>
      </c>
      <c r="B192" s="104" t="s">
        <v>744</v>
      </c>
      <c r="C192" s="104" t="s">
        <v>745</v>
      </c>
      <c r="D192" s="102" t="s">
        <v>50</v>
      </c>
      <c r="E192" s="117" t="s">
        <v>168</v>
      </c>
      <c r="F192" s="240" t="s">
        <v>909</v>
      </c>
      <c r="G192" s="103">
        <f>61.82*41.9</f>
        <v>2590.2579999999998</v>
      </c>
      <c r="H192" s="51">
        <f>IF(VLOOKUP(J192,'HOURLY RATES'!B$116:C$124,2,0)=0,$J$3,VLOOKUP(J192,'HOURLY RATES'!B$116:C$124,2,0))</f>
        <v>0.05</v>
      </c>
      <c r="I192" s="52">
        <f t="shared" si="47"/>
        <v>2719.7709</v>
      </c>
      <c r="J192" s="101" t="s">
        <v>253</v>
      </c>
      <c r="K192" s="150">
        <v>4.3200000000000002E-2</v>
      </c>
      <c r="L192" s="151">
        <f t="shared" si="48"/>
        <v>117.49410288</v>
      </c>
      <c r="M192" s="57">
        <f>IF(VLOOKUP(E192,'HOURLY RATES'!C$6:D$105,2,0)=0,$E$3,VLOOKUP(E192,'HOURLY RATES'!C$6:D$105,2,0))</f>
        <v>102</v>
      </c>
      <c r="N192" s="152">
        <f t="shared" si="49"/>
        <v>11984.39849376</v>
      </c>
      <c r="O192" s="107">
        <v>2.6</v>
      </c>
      <c r="P192" s="107">
        <f t="shared" si="50"/>
        <v>7071.40434</v>
      </c>
      <c r="Q192" s="153">
        <f t="shared" si="51"/>
        <v>19055.802833760001</v>
      </c>
      <c r="R192" s="116"/>
      <c r="S192" s="129">
        <f t="shared" si="52"/>
        <v>9.0656024199999994</v>
      </c>
      <c r="T192" s="130">
        <f t="shared" si="53"/>
        <v>24656.361652885575</v>
      </c>
    </row>
    <row r="193" spans="1:20" s="7" customFormat="1" x14ac:dyDescent="0.25">
      <c r="A193" s="110">
        <f>IF(J193&lt;&gt;"",1+MAX($A$17:A192),"")</f>
        <v>153</v>
      </c>
      <c r="B193" s="104" t="s">
        <v>744</v>
      </c>
      <c r="C193" s="104" t="s">
        <v>745</v>
      </c>
      <c r="D193" s="102" t="s">
        <v>50</v>
      </c>
      <c r="E193" s="117" t="s">
        <v>168</v>
      </c>
      <c r="F193" s="240" t="s">
        <v>910</v>
      </c>
      <c r="G193" s="103">
        <f>207.61*19</f>
        <v>3944.59</v>
      </c>
      <c r="H193" s="51">
        <f>IF(VLOOKUP(J193,'HOURLY RATES'!B$116:C$124,2,0)=0,$J$3,VLOOKUP(J193,'HOURLY RATES'!B$116:C$124,2,0))</f>
        <v>0.05</v>
      </c>
      <c r="I193" s="52">
        <f t="shared" si="47"/>
        <v>4141.8195000000005</v>
      </c>
      <c r="J193" s="101" t="s">
        <v>253</v>
      </c>
      <c r="K193" s="150">
        <v>4.3200000000000002E-2</v>
      </c>
      <c r="L193" s="151">
        <f t="shared" si="48"/>
        <v>178.92660240000004</v>
      </c>
      <c r="M193" s="57">
        <f>IF(VLOOKUP(E193,'HOURLY RATES'!C$6:D$105,2,0)=0,$E$3,VLOOKUP(E193,'HOURLY RATES'!C$6:D$105,2,0))</f>
        <v>102</v>
      </c>
      <c r="N193" s="152">
        <f t="shared" si="49"/>
        <v>18250.513444800003</v>
      </c>
      <c r="O193" s="107">
        <v>2.6</v>
      </c>
      <c r="P193" s="107">
        <f t="shared" si="50"/>
        <v>10768.730700000002</v>
      </c>
      <c r="Q193" s="153">
        <f t="shared" si="51"/>
        <v>29019.244144800003</v>
      </c>
      <c r="R193" s="116"/>
      <c r="S193" s="129">
        <f t="shared" si="52"/>
        <v>9.0656024199999994</v>
      </c>
      <c r="T193" s="130">
        <f t="shared" si="53"/>
        <v>37548.088882403194</v>
      </c>
    </row>
    <row r="194" spans="1:20" s="7" customFormat="1" x14ac:dyDescent="0.25">
      <c r="A194" s="110">
        <f>IF(J194&lt;&gt;"",1+MAX($A$17:A193),"")</f>
        <v>154</v>
      </c>
      <c r="B194" s="104" t="s">
        <v>744</v>
      </c>
      <c r="C194" s="104" t="s">
        <v>745</v>
      </c>
      <c r="D194" s="102" t="s">
        <v>50</v>
      </c>
      <c r="E194" s="117" t="s">
        <v>168</v>
      </c>
      <c r="F194" s="240" t="s">
        <v>911</v>
      </c>
      <c r="G194" s="103">
        <f>93.82*37.69</f>
        <v>3536.0757999999996</v>
      </c>
      <c r="H194" s="51">
        <f>IF(VLOOKUP(J194,'HOURLY RATES'!B$116:C$124,2,0)=0,$J$3,VLOOKUP(J194,'HOURLY RATES'!B$116:C$124,2,0))</f>
        <v>0.05</v>
      </c>
      <c r="I194" s="52">
        <f t="shared" si="47"/>
        <v>3712.8795899999996</v>
      </c>
      <c r="J194" s="101" t="s">
        <v>253</v>
      </c>
      <c r="K194" s="150">
        <v>4.3200000000000002E-2</v>
      </c>
      <c r="L194" s="151">
        <f t="shared" si="48"/>
        <v>160.396398288</v>
      </c>
      <c r="M194" s="57">
        <f>IF(VLOOKUP(E194,'HOURLY RATES'!C$6:D$105,2,0)=0,$E$3,VLOOKUP(E194,'HOURLY RATES'!C$6:D$105,2,0))</f>
        <v>102</v>
      </c>
      <c r="N194" s="152">
        <f t="shared" si="49"/>
        <v>16360.432625376001</v>
      </c>
      <c r="O194" s="107">
        <v>2.6</v>
      </c>
      <c r="P194" s="107">
        <f t="shared" si="50"/>
        <v>9653.4869339999987</v>
      </c>
      <c r="Q194" s="153">
        <f t="shared" si="51"/>
        <v>26013.919559376001</v>
      </c>
      <c r="R194" s="116"/>
      <c r="S194" s="129">
        <f t="shared" si="52"/>
        <v>9.0656024200000012</v>
      </c>
      <c r="T194" s="130">
        <f t="shared" si="53"/>
        <v>33659.490196272607</v>
      </c>
    </row>
    <row r="195" spans="1:20" s="7" customFormat="1" x14ac:dyDescent="0.25">
      <c r="A195" s="110">
        <f>IF(J195&lt;&gt;"",1+MAX($A$17:A194),"")</f>
        <v>155</v>
      </c>
      <c r="B195" s="104" t="s">
        <v>744</v>
      </c>
      <c r="C195" s="104" t="s">
        <v>745</v>
      </c>
      <c r="D195" s="102" t="s">
        <v>50</v>
      </c>
      <c r="E195" s="117" t="s">
        <v>168</v>
      </c>
      <c r="F195" s="240" t="s">
        <v>912</v>
      </c>
      <c r="G195" s="103">
        <f>56.63*47.8</f>
        <v>2706.9139999999998</v>
      </c>
      <c r="H195" s="51">
        <f>IF(VLOOKUP(J195,'HOURLY RATES'!B$116:C$124,2,0)=0,$J$3,VLOOKUP(J195,'HOURLY RATES'!B$116:C$124,2,0))</f>
        <v>0.05</v>
      </c>
      <c r="I195" s="52">
        <f t="shared" si="47"/>
        <v>2842.2597000000001</v>
      </c>
      <c r="J195" s="101" t="s">
        <v>253</v>
      </c>
      <c r="K195" s="150">
        <v>4.3200000000000002E-2</v>
      </c>
      <c r="L195" s="151">
        <f t="shared" si="48"/>
        <v>122.78561904000001</v>
      </c>
      <c r="M195" s="57">
        <f>IF(VLOOKUP(E195,'HOURLY RATES'!C$6:D$105,2,0)=0,$E$3,VLOOKUP(E195,'HOURLY RATES'!C$6:D$105,2,0))</f>
        <v>102</v>
      </c>
      <c r="N195" s="152">
        <f t="shared" si="49"/>
        <v>12524.133142080002</v>
      </c>
      <c r="O195" s="107">
        <v>2.6</v>
      </c>
      <c r="P195" s="107">
        <f t="shared" si="50"/>
        <v>7389.8752200000008</v>
      </c>
      <c r="Q195" s="153">
        <f t="shared" si="51"/>
        <v>19914.008362080003</v>
      </c>
      <c r="R195" s="116"/>
      <c r="S195" s="129">
        <f t="shared" si="52"/>
        <v>9.0656024199999994</v>
      </c>
      <c r="T195" s="130">
        <f t="shared" si="53"/>
        <v>25766.796414588473</v>
      </c>
    </row>
    <row r="196" spans="1:20" s="7" customFormat="1" x14ac:dyDescent="0.25">
      <c r="A196" s="110">
        <f>IF(J196&lt;&gt;"",1+MAX($A$17:A195),"")</f>
        <v>156</v>
      </c>
      <c r="B196" s="104" t="s">
        <v>744</v>
      </c>
      <c r="C196" s="104" t="s">
        <v>745</v>
      </c>
      <c r="D196" s="102" t="s">
        <v>50</v>
      </c>
      <c r="E196" s="117" t="s">
        <v>168</v>
      </c>
      <c r="F196" s="240" t="s">
        <v>913</v>
      </c>
      <c r="G196" s="103">
        <f>40.39*58</f>
        <v>2342.62</v>
      </c>
      <c r="H196" s="51">
        <f>IF(VLOOKUP(J196,'HOURLY RATES'!B$116:C$124,2,0)=0,$J$3,VLOOKUP(J196,'HOURLY RATES'!B$116:C$124,2,0))</f>
        <v>0.05</v>
      </c>
      <c r="I196" s="52">
        <f t="shared" si="47"/>
        <v>2459.7510000000002</v>
      </c>
      <c r="J196" s="101" t="s">
        <v>253</v>
      </c>
      <c r="K196" s="150">
        <v>4.3200000000000002E-2</v>
      </c>
      <c r="L196" s="151">
        <f t="shared" si="48"/>
        <v>106.26124320000001</v>
      </c>
      <c r="M196" s="57">
        <f>IF(VLOOKUP(E196,'HOURLY RATES'!C$6:D$105,2,0)=0,$E$3,VLOOKUP(E196,'HOURLY RATES'!C$6:D$105,2,0))</f>
        <v>102</v>
      </c>
      <c r="N196" s="152">
        <f t="shared" si="49"/>
        <v>10838.646806400002</v>
      </c>
      <c r="O196" s="107">
        <v>2.6</v>
      </c>
      <c r="P196" s="107">
        <f t="shared" si="50"/>
        <v>6395.3526000000011</v>
      </c>
      <c r="Q196" s="153">
        <f t="shared" si="51"/>
        <v>17233.999406400002</v>
      </c>
      <c r="R196" s="116"/>
      <c r="S196" s="129">
        <f t="shared" si="52"/>
        <v>9.0656024200000012</v>
      </c>
      <c r="T196" s="130">
        <f t="shared" si="53"/>
        <v>22299.124618197424</v>
      </c>
    </row>
    <row r="197" spans="1:20" s="7" customFormat="1" x14ac:dyDescent="0.25">
      <c r="A197" s="110" t="str">
        <f>IF(J197&lt;&gt;"",1+MAX($A$17:A196),"")</f>
        <v/>
      </c>
      <c r="B197" s="104"/>
      <c r="C197" s="108"/>
      <c r="D197" s="102"/>
      <c r="E197" s="117"/>
      <c r="F197" s="240" t="s">
        <v>248</v>
      </c>
      <c r="G197" s="103"/>
      <c r="H197" s="105"/>
      <c r="I197" s="106"/>
      <c r="J197" s="101"/>
      <c r="K197" s="150"/>
      <c r="L197" s="151"/>
      <c r="M197" s="152"/>
      <c r="N197" s="152"/>
      <c r="O197" s="107"/>
      <c r="P197" s="107"/>
      <c r="Q197" s="153"/>
      <c r="R197" s="116"/>
      <c r="S197" s="129"/>
      <c r="T197" s="130"/>
    </row>
    <row r="198" spans="1:20" s="7" customFormat="1" x14ac:dyDescent="0.25">
      <c r="A198" s="110" t="str">
        <f>IF(J198&lt;&gt;"",1+MAX($A$17:A197),"")</f>
        <v/>
      </c>
      <c r="B198" s="104"/>
      <c r="C198" s="108"/>
      <c r="D198" s="102"/>
      <c r="E198" s="117"/>
      <c r="F198" s="239" t="s">
        <v>798</v>
      </c>
      <c r="G198" s="103"/>
      <c r="H198" s="105"/>
      <c r="I198" s="106"/>
      <c r="J198" s="101"/>
      <c r="K198" s="150"/>
      <c r="L198" s="151"/>
      <c r="M198" s="152"/>
      <c r="N198" s="152"/>
      <c r="O198" s="107"/>
      <c r="P198" s="107"/>
      <c r="Q198" s="153"/>
      <c r="R198" s="116"/>
      <c r="S198" s="129"/>
      <c r="T198" s="130"/>
    </row>
    <row r="199" spans="1:20" s="7" customFormat="1" x14ac:dyDescent="0.25">
      <c r="A199" s="110">
        <f>IF(J199&lt;&gt;"",1+MAX($A$17:A198),"")</f>
        <v>157</v>
      </c>
      <c r="B199" s="104" t="s">
        <v>744</v>
      </c>
      <c r="C199" s="104" t="s">
        <v>745</v>
      </c>
      <c r="D199" s="102" t="s">
        <v>50</v>
      </c>
      <c r="E199" s="117" t="s">
        <v>168</v>
      </c>
      <c r="F199" s="240" t="s">
        <v>799</v>
      </c>
      <c r="G199" s="103">
        <f>146.27*5.3</f>
        <v>775.23099999999999</v>
      </c>
      <c r="H199" s="51">
        <f>IF(VLOOKUP(J199,'HOURLY RATES'!B$116:C$124,2,0)=0,$J$3,VLOOKUP(J199,'HOURLY RATES'!B$116:C$124,2,0))</f>
        <v>0.05</v>
      </c>
      <c r="I199" s="52">
        <f t="shared" ref="I199:I200" si="54">(G199*(1+H199))</f>
        <v>813.99255000000005</v>
      </c>
      <c r="J199" s="101" t="s">
        <v>253</v>
      </c>
      <c r="K199" s="150">
        <v>4.0500000000000001E-2</v>
      </c>
      <c r="L199" s="151">
        <f t="shared" ref="L199:L200" si="55">K199*I199</f>
        <v>32.966698275000006</v>
      </c>
      <c r="M199" s="57">
        <f>IF(VLOOKUP(E199,'HOURLY RATES'!C$6:D$105,2,0)=0,$E$3,VLOOKUP(E199,'HOURLY RATES'!C$6:D$105,2,0))</f>
        <v>102</v>
      </c>
      <c r="N199" s="152">
        <f t="shared" ref="N199:N200" si="56">M199*L199</f>
        <v>3362.6032240500008</v>
      </c>
      <c r="O199" s="107">
        <v>2.6</v>
      </c>
      <c r="P199" s="107">
        <f t="shared" ref="P199:P200" si="57">O199*I199</f>
        <v>2116.3806300000001</v>
      </c>
      <c r="Q199" s="153">
        <f t="shared" ref="Q199:Q200" si="58">P199+N199</f>
        <v>5478.9838540500004</v>
      </c>
      <c r="R199" s="116"/>
      <c r="S199" s="129">
        <f t="shared" si="52"/>
        <v>8.7161886699999993</v>
      </c>
      <c r="T199" s="130">
        <f t="shared" si="53"/>
        <v>7094.9126417744083</v>
      </c>
    </row>
    <row r="200" spans="1:20" s="7" customFormat="1" x14ac:dyDescent="0.25">
      <c r="A200" s="110">
        <f>IF(J200&lt;&gt;"",1+MAX($A$17:A199),"")</f>
        <v>158</v>
      </c>
      <c r="B200" s="104" t="s">
        <v>744</v>
      </c>
      <c r="C200" s="104" t="s">
        <v>745</v>
      </c>
      <c r="D200" s="102" t="s">
        <v>50</v>
      </c>
      <c r="E200" s="117" t="s">
        <v>168</v>
      </c>
      <c r="F200" s="240" t="s">
        <v>800</v>
      </c>
      <c r="G200" s="103">
        <f>1121.26*10.5</f>
        <v>11773.23</v>
      </c>
      <c r="H200" s="51">
        <f>IF(VLOOKUP(J200,'HOURLY RATES'!B$116:C$124,2,0)=0,$J$3,VLOOKUP(J200,'HOURLY RATES'!B$116:C$124,2,0))</f>
        <v>0.05</v>
      </c>
      <c r="I200" s="52">
        <f t="shared" si="54"/>
        <v>12361.8915</v>
      </c>
      <c r="J200" s="101" t="s">
        <v>253</v>
      </c>
      <c r="K200" s="150">
        <v>4.0500000000000001E-2</v>
      </c>
      <c r="L200" s="151">
        <f t="shared" si="55"/>
        <v>500.65660574999998</v>
      </c>
      <c r="M200" s="57">
        <f>IF(VLOOKUP(E200,'HOURLY RATES'!C$6:D$105,2,0)=0,$E$3,VLOOKUP(E200,'HOURLY RATES'!C$6:D$105,2,0))</f>
        <v>102</v>
      </c>
      <c r="N200" s="152">
        <f t="shared" si="56"/>
        <v>51066.973786499999</v>
      </c>
      <c r="O200" s="107">
        <v>2.6</v>
      </c>
      <c r="P200" s="107">
        <f t="shared" si="57"/>
        <v>32140.9179</v>
      </c>
      <c r="Q200" s="153">
        <f t="shared" si="58"/>
        <v>83207.891686499992</v>
      </c>
      <c r="R200" s="116"/>
      <c r="S200" s="129">
        <f t="shared" si="52"/>
        <v>8.7161886699999993</v>
      </c>
      <c r="T200" s="130">
        <f t="shared" si="53"/>
        <v>107748.5786320693</v>
      </c>
    </row>
    <row r="201" spans="1:20" s="7" customFormat="1" x14ac:dyDescent="0.25">
      <c r="A201" s="110" t="str">
        <f>IF(J201&lt;&gt;"",1+MAX($A$17:A200),"")</f>
        <v/>
      </c>
      <c r="B201" s="104"/>
      <c r="C201" s="108"/>
      <c r="D201" s="102"/>
      <c r="E201" s="117"/>
      <c r="F201" s="240" t="s">
        <v>248</v>
      </c>
      <c r="G201" s="103"/>
      <c r="H201" s="105"/>
      <c r="I201" s="106"/>
      <c r="J201" s="101"/>
      <c r="K201" s="150"/>
      <c r="L201" s="151"/>
      <c r="M201" s="152"/>
      <c r="N201" s="152"/>
      <c r="O201" s="107"/>
      <c r="P201" s="107"/>
      <c r="Q201" s="153"/>
      <c r="R201" s="116"/>
      <c r="S201" s="129"/>
      <c r="T201" s="130"/>
    </row>
    <row r="202" spans="1:20" s="7" customFormat="1" x14ac:dyDescent="0.25">
      <c r="A202" s="110" t="str">
        <f>IF(J202&lt;&gt;"",1+MAX($A$17:A201),"")</f>
        <v/>
      </c>
      <c r="B202" s="104"/>
      <c r="C202" s="108"/>
      <c r="D202" s="102"/>
      <c r="E202" s="117"/>
      <c r="F202" s="239" t="s">
        <v>801</v>
      </c>
      <c r="G202" s="103"/>
      <c r="H202" s="105"/>
      <c r="I202" s="106"/>
      <c r="J202" s="101"/>
      <c r="K202" s="150"/>
      <c r="L202" s="151"/>
      <c r="M202" s="152"/>
      <c r="N202" s="152"/>
      <c r="O202" s="107"/>
      <c r="P202" s="107"/>
      <c r="Q202" s="153"/>
      <c r="R202" s="116"/>
      <c r="S202" s="129"/>
      <c r="T202" s="130"/>
    </row>
    <row r="203" spans="1:20" s="7" customFormat="1" x14ac:dyDescent="0.25">
      <c r="A203" s="110">
        <f>IF(J203&lt;&gt;"",1+MAX($A$17:A202),"")</f>
        <v>159</v>
      </c>
      <c r="B203" s="104" t="s">
        <v>744</v>
      </c>
      <c r="C203" s="104" t="s">
        <v>745</v>
      </c>
      <c r="D203" s="102" t="s">
        <v>50</v>
      </c>
      <c r="E203" s="117" t="s">
        <v>168</v>
      </c>
      <c r="F203" s="240" t="s">
        <v>914</v>
      </c>
      <c r="G203" s="103">
        <f>899*3.05</f>
        <v>2741.95</v>
      </c>
      <c r="H203" s="51">
        <f>IF(VLOOKUP(J203,'HOURLY RATES'!B$116:C$124,2,0)=0,$J$3,VLOOKUP(J203,'HOURLY RATES'!B$116:C$124,2,0))</f>
        <v>0.05</v>
      </c>
      <c r="I203" s="52">
        <f t="shared" ref="I203:I216" si="59">(G203*(1+H203))</f>
        <v>2879.0475000000001</v>
      </c>
      <c r="J203" s="101" t="s">
        <v>253</v>
      </c>
      <c r="K203" s="150">
        <v>4.3200000000000002E-2</v>
      </c>
      <c r="L203" s="151">
        <f t="shared" ref="L203:L216" si="60">K203*I203</f>
        <v>124.37485200000002</v>
      </c>
      <c r="M203" s="57">
        <f>IF(VLOOKUP(E203,'HOURLY RATES'!C$6:D$105,2,0)=0,$E$3,VLOOKUP(E203,'HOURLY RATES'!C$6:D$105,2,0))</f>
        <v>102</v>
      </c>
      <c r="N203" s="152">
        <f t="shared" ref="N203:N216" si="61">M203*L203</f>
        <v>12686.234904000003</v>
      </c>
      <c r="O203" s="107">
        <v>2.6</v>
      </c>
      <c r="P203" s="107">
        <f t="shared" ref="P203:P216" si="62">O203*I203</f>
        <v>7485.5235000000002</v>
      </c>
      <c r="Q203" s="153">
        <f t="shared" ref="Q203:Q216" si="63">P203+N203</f>
        <v>20171.758404000004</v>
      </c>
      <c r="R203" s="116"/>
      <c r="S203" s="129">
        <f t="shared" si="52"/>
        <v>9.0656024200000012</v>
      </c>
      <c r="T203" s="130">
        <f t="shared" si="53"/>
        <v>26100.299983294954</v>
      </c>
    </row>
    <row r="204" spans="1:20" s="7" customFormat="1" x14ac:dyDescent="0.25">
      <c r="A204" s="110">
        <f>IF(J204&lt;&gt;"",1+MAX($A$17:A203),"")</f>
        <v>160</v>
      </c>
      <c r="B204" s="104" t="s">
        <v>744</v>
      </c>
      <c r="C204" s="104" t="s">
        <v>745</v>
      </c>
      <c r="D204" s="102" t="s">
        <v>50</v>
      </c>
      <c r="E204" s="117" t="s">
        <v>168</v>
      </c>
      <c r="F204" s="240" t="s">
        <v>802</v>
      </c>
      <c r="G204" s="103">
        <f>135.27*5.5</f>
        <v>743.98500000000001</v>
      </c>
      <c r="H204" s="51">
        <f>IF(VLOOKUP(J204,'HOURLY RATES'!B$116:C$124,2,0)=0,$J$3,VLOOKUP(J204,'HOURLY RATES'!B$116:C$124,2,0))</f>
        <v>0.05</v>
      </c>
      <c r="I204" s="52">
        <f t="shared" si="59"/>
        <v>781.18425000000002</v>
      </c>
      <c r="J204" s="101" t="s">
        <v>253</v>
      </c>
      <c r="K204" s="150">
        <v>4.3200000000000002E-2</v>
      </c>
      <c r="L204" s="151">
        <f t="shared" si="60"/>
        <v>33.747159600000003</v>
      </c>
      <c r="M204" s="57">
        <f>IF(VLOOKUP(E204,'HOURLY RATES'!C$6:D$105,2,0)=0,$E$3,VLOOKUP(E204,'HOURLY RATES'!C$6:D$105,2,0))</f>
        <v>102</v>
      </c>
      <c r="N204" s="152">
        <f t="shared" si="61"/>
        <v>3442.2102792000005</v>
      </c>
      <c r="O204" s="107">
        <v>2.6</v>
      </c>
      <c r="P204" s="107">
        <f t="shared" si="62"/>
        <v>2031.0790500000001</v>
      </c>
      <c r="Q204" s="153">
        <f t="shared" si="63"/>
        <v>5473.2893292000008</v>
      </c>
      <c r="R204" s="116"/>
      <c r="S204" s="129">
        <f t="shared" si="52"/>
        <v>9.0656024200000012</v>
      </c>
      <c r="T204" s="130">
        <f t="shared" si="53"/>
        <v>7081.9058272658858</v>
      </c>
    </row>
    <row r="205" spans="1:20" s="7" customFormat="1" x14ac:dyDescent="0.25">
      <c r="A205" s="110">
        <f>IF(J205&lt;&gt;"",1+MAX($A$17:A204),"")</f>
        <v>161</v>
      </c>
      <c r="B205" s="104" t="s">
        <v>744</v>
      </c>
      <c r="C205" s="104" t="s">
        <v>745</v>
      </c>
      <c r="D205" s="102" t="s">
        <v>50</v>
      </c>
      <c r="E205" s="117" t="s">
        <v>168</v>
      </c>
      <c r="F205" s="240" t="s">
        <v>803</v>
      </c>
      <c r="G205" s="103">
        <f>91.56*5.5</f>
        <v>503.58000000000004</v>
      </c>
      <c r="H205" s="51">
        <f>IF(VLOOKUP(J205,'HOURLY RATES'!B$116:C$124,2,0)=0,$J$3,VLOOKUP(J205,'HOURLY RATES'!B$116:C$124,2,0))</f>
        <v>0.05</v>
      </c>
      <c r="I205" s="52">
        <f t="shared" si="59"/>
        <v>528.75900000000001</v>
      </c>
      <c r="J205" s="101" t="s">
        <v>253</v>
      </c>
      <c r="K205" s="150">
        <v>4.3200000000000002E-2</v>
      </c>
      <c r="L205" s="151">
        <f t="shared" si="60"/>
        <v>22.842388800000002</v>
      </c>
      <c r="M205" s="57">
        <f>IF(VLOOKUP(E205,'HOURLY RATES'!C$6:D$105,2,0)=0,$E$3,VLOOKUP(E205,'HOURLY RATES'!C$6:D$105,2,0))</f>
        <v>102</v>
      </c>
      <c r="N205" s="152">
        <f t="shared" si="61"/>
        <v>2329.9236576000003</v>
      </c>
      <c r="O205" s="107">
        <v>2.6</v>
      </c>
      <c r="P205" s="107">
        <f t="shared" si="62"/>
        <v>1374.7734</v>
      </c>
      <c r="Q205" s="153">
        <f t="shared" si="63"/>
        <v>3704.6970576000003</v>
      </c>
      <c r="R205" s="116"/>
      <c r="S205" s="129">
        <f t="shared" si="52"/>
        <v>9.0656024199999994</v>
      </c>
      <c r="T205" s="130">
        <f t="shared" si="53"/>
        <v>4793.5188699967794</v>
      </c>
    </row>
    <row r="206" spans="1:20" s="7" customFormat="1" x14ac:dyDescent="0.25">
      <c r="A206" s="110">
        <f>IF(J206&lt;&gt;"",1+MAX($A$17:A205),"")</f>
        <v>162</v>
      </c>
      <c r="B206" s="104" t="s">
        <v>744</v>
      </c>
      <c r="C206" s="104" t="s">
        <v>745</v>
      </c>
      <c r="D206" s="102" t="s">
        <v>50</v>
      </c>
      <c r="E206" s="117" t="s">
        <v>168</v>
      </c>
      <c r="F206" s="240" t="s">
        <v>804</v>
      </c>
      <c r="G206" s="103">
        <f>288.51*6.4</f>
        <v>1846.4639999999999</v>
      </c>
      <c r="H206" s="51">
        <f>IF(VLOOKUP(J206,'HOURLY RATES'!B$116:C$124,2,0)=0,$J$3,VLOOKUP(J206,'HOURLY RATES'!B$116:C$124,2,0))</f>
        <v>0.05</v>
      </c>
      <c r="I206" s="52">
        <f t="shared" si="59"/>
        <v>1938.7872</v>
      </c>
      <c r="J206" s="101" t="s">
        <v>253</v>
      </c>
      <c r="K206" s="150">
        <v>4.3200000000000002E-2</v>
      </c>
      <c r="L206" s="151">
        <f t="shared" si="60"/>
        <v>83.755607040000001</v>
      </c>
      <c r="M206" s="57">
        <f>IF(VLOOKUP(E206,'HOURLY RATES'!C$6:D$105,2,0)=0,$E$3,VLOOKUP(E206,'HOURLY RATES'!C$6:D$105,2,0))</f>
        <v>102</v>
      </c>
      <c r="N206" s="152">
        <f t="shared" si="61"/>
        <v>8543.0719180800006</v>
      </c>
      <c r="O206" s="107">
        <v>2.6</v>
      </c>
      <c r="P206" s="107">
        <f t="shared" si="62"/>
        <v>5040.8467200000005</v>
      </c>
      <c r="Q206" s="153">
        <f t="shared" si="63"/>
        <v>13583.918638080002</v>
      </c>
      <c r="R206" s="116"/>
      <c r="S206" s="129">
        <f t="shared" si="52"/>
        <v>9.0656024199999976</v>
      </c>
      <c r="T206" s="130">
        <f t="shared" si="53"/>
        <v>17576.27393218502</v>
      </c>
    </row>
    <row r="207" spans="1:20" s="7" customFormat="1" x14ac:dyDescent="0.25">
      <c r="A207" s="110">
        <f>IF(J207&lt;&gt;"",1+MAX($A$17:A206),"")</f>
        <v>163</v>
      </c>
      <c r="B207" s="104" t="s">
        <v>744</v>
      </c>
      <c r="C207" s="104" t="s">
        <v>745</v>
      </c>
      <c r="D207" s="102" t="s">
        <v>50</v>
      </c>
      <c r="E207" s="117" t="s">
        <v>168</v>
      </c>
      <c r="F207" s="240" t="s">
        <v>805</v>
      </c>
      <c r="G207" s="103">
        <f>1317.74*7.2</f>
        <v>9487.728000000001</v>
      </c>
      <c r="H207" s="51">
        <f>IF(VLOOKUP(J207,'HOURLY RATES'!B$116:C$124,2,0)=0,$J$3,VLOOKUP(J207,'HOURLY RATES'!B$116:C$124,2,0))</f>
        <v>0.05</v>
      </c>
      <c r="I207" s="52">
        <f t="shared" si="59"/>
        <v>9962.1144000000022</v>
      </c>
      <c r="J207" s="101" t="s">
        <v>253</v>
      </c>
      <c r="K207" s="150">
        <v>4.3200000000000002E-2</v>
      </c>
      <c r="L207" s="151">
        <f t="shared" si="60"/>
        <v>430.36334208000011</v>
      </c>
      <c r="M207" s="57">
        <f>IF(VLOOKUP(E207,'HOURLY RATES'!C$6:D$105,2,0)=0,$E$3,VLOOKUP(E207,'HOURLY RATES'!C$6:D$105,2,0))</f>
        <v>102</v>
      </c>
      <c r="N207" s="152">
        <f t="shared" si="61"/>
        <v>43897.060892160014</v>
      </c>
      <c r="O207" s="107">
        <v>2.6</v>
      </c>
      <c r="P207" s="107">
        <f t="shared" si="62"/>
        <v>25901.497440000006</v>
      </c>
      <c r="Q207" s="153">
        <f t="shared" si="63"/>
        <v>69798.558332160028</v>
      </c>
      <c r="R207" s="116"/>
      <c r="S207" s="129">
        <f t="shared" si="52"/>
        <v>9.0656024199999994</v>
      </c>
      <c r="T207" s="130">
        <f t="shared" si="53"/>
        <v>90312.568412956869</v>
      </c>
    </row>
    <row r="208" spans="1:20" s="7" customFormat="1" x14ac:dyDescent="0.25">
      <c r="A208" s="110">
        <f>IF(J208&lt;&gt;"",1+MAX($A$17:A207),"")</f>
        <v>164</v>
      </c>
      <c r="B208" s="104" t="s">
        <v>744</v>
      </c>
      <c r="C208" s="104" t="s">
        <v>745</v>
      </c>
      <c r="D208" s="102" t="s">
        <v>50</v>
      </c>
      <c r="E208" s="117" t="s">
        <v>168</v>
      </c>
      <c r="F208" s="240" t="s">
        <v>806</v>
      </c>
      <c r="G208" s="103">
        <f>300.11*9.7</f>
        <v>2911.067</v>
      </c>
      <c r="H208" s="51">
        <f>IF(VLOOKUP(J208,'HOURLY RATES'!B$116:C$124,2,0)=0,$J$3,VLOOKUP(J208,'HOURLY RATES'!B$116:C$124,2,0))</f>
        <v>0.05</v>
      </c>
      <c r="I208" s="52">
        <f t="shared" si="59"/>
        <v>3056.6203500000001</v>
      </c>
      <c r="J208" s="101" t="s">
        <v>253</v>
      </c>
      <c r="K208" s="150">
        <v>4.3200000000000002E-2</v>
      </c>
      <c r="L208" s="151">
        <f t="shared" si="60"/>
        <v>132.04599912</v>
      </c>
      <c r="M208" s="57">
        <f>IF(VLOOKUP(E208,'HOURLY RATES'!C$6:D$105,2,0)=0,$E$3,VLOOKUP(E208,'HOURLY RATES'!C$6:D$105,2,0))</f>
        <v>102</v>
      </c>
      <c r="N208" s="152">
        <f t="shared" si="61"/>
        <v>13468.691910240001</v>
      </c>
      <c r="O208" s="107">
        <v>2.6</v>
      </c>
      <c r="P208" s="107">
        <f t="shared" si="62"/>
        <v>7947.2129100000002</v>
      </c>
      <c r="Q208" s="153">
        <f t="shared" si="63"/>
        <v>21415.904820240001</v>
      </c>
      <c r="R208" s="116"/>
      <c r="S208" s="129">
        <f t="shared" si="52"/>
        <v>9.0656024199999994</v>
      </c>
      <c r="T208" s="130">
        <f t="shared" si="53"/>
        <v>27710.104841981247</v>
      </c>
    </row>
    <row r="209" spans="1:20" s="7" customFormat="1" x14ac:dyDescent="0.25">
      <c r="A209" s="110">
        <f>IF(J209&lt;&gt;"",1+MAX($A$17:A208),"")</f>
        <v>165</v>
      </c>
      <c r="B209" s="104" t="s">
        <v>744</v>
      </c>
      <c r="C209" s="104" t="s">
        <v>745</v>
      </c>
      <c r="D209" s="102" t="s">
        <v>50</v>
      </c>
      <c r="E209" s="117" t="s">
        <v>168</v>
      </c>
      <c r="F209" s="240" t="s">
        <v>807</v>
      </c>
      <c r="G209" s="103">
        <f>182.82*9.8</f>
        <v>1791.636</v>
      </c>
      <c r="H209" s="51">
        <f>IF(VLOOKUP(J209,'HOURLY RATES'!B$116:C$124,2,0)=0,$J$3,VLOOKUP(J209,'HOURLY RATES'!B$116:C$124,2,0))</f>
        <v>0.05</v>
      </c>
      <c r="I209" s="52">
        <f t="shared" si="59"/>
        <v>1881.2178000000001</v>
      </c>
      <c r="J209" s="101" t="s">
        <v>253</v>
      </c>
      <c r="K209" s="150">
        <v>4.3200000000000002E-2</v>
      </c>
      <c r="L209" s="151">
        <f t="shared" si="60"/>
        <v>81.268608960000009</v>
      </c>
      <c r="M209" s="57">
        <f>IF(VLOOKUP(E209,'HOURLY RATES'!C$6:D$105,2,0)=0,$E$3,VLOOKUP(E209,'HOURLY RATES'!C$6:D$105,2,0))</f>
        <v>102</v>
      </c>
      <c r="N209" s="152">
        <f t="shared" si="61"/>
        <v>8289.3981139200005</v>
      </c>
      <c r="O209" s="107">
        <v>2.6</v>
      </c>
      <c r="P209" s="107">
        <f t="shared" si="62"/>
        <v>4891.1662800000004</v>
      </c>
      <c r="Q209" s="153">
        <f t="shared" si="63"/>
        <v>13180.564393920002</v>
      </c>
      <c r="R209" s="116"/>
      <c r="S209" s="129">
        <f t="shared" si="52"/>
        <v>9.0656024199999976</v>
      </c>
      <c r="T209" s="130">
        <f t="shared" si="53"/>
        <v>17054.372640227073</v>
      </c>
    </row>
    <row r="210" spans="1:20" s="7" customFormat="1" x14ac:dyDescent="0.25">
      <c r="A210" s="110">
        <f>IF(J210&lt;&gt;"",1+MAX($A$17:A209),"")</f>
        <v>166</v>
      </c>
      <c r="B210" s="104" t="s">
        <v>744</v>
      </c>
      <c r="C210" s="104" t="s">
        <v>745</v>
      </c>
      <c r="D210" s="102" t="s">
        <v>50</v>
      </c>
      <c r="E210" s="117" t="s">
        <v>168</v>
      </c>
      <c r="F210" s="240" t="s">
        <v>808</v>
      </c>
      <c r="G210" s="103">
        <f>212.37*11.8</f>
        <v>2505.9660000000003</v>
      </c>
      <c r="H210" s="51">
        <f>IF(VLOOKUP(J210,'HOURLY RATES'!B$116:C$124,2,0)=0,$J$3,VLOOKUP(J210,'HOURLY RATES'!B$116:C$124,2,0))</f>
        <v>0.05</v>
      </c>
      <c r="I210" s="52">
        <f t="shared" si="59"/>
        <v>2631.2643000000003</v>
      </c>
      <c r="J210" s="101" t="s">
        <v>253</v>
      </c>
      <c r="K210" s="150">
        <v>4.3200000000000002E-2</v>
      </c>
      <c r="L210" s="151">
        <f t="shared" si="60"/>
        <v>113.67061776000001</v>
      </c>
      <c r="M210" s="57">
        <f>IF(VLOOKUP(E210,'HOURLY RATES'!C$6:D$105,2,0)=0,$E$3,VLOOKUP(E210,'HOURLY RATES'!C$6:D$105,2,0))</f>
        <v>102</v>
      </c>
      <c r="N210" s="152">
        <f t="shared" si="61"/>
        <v>11594.403011520002</v>
      </c>
      <c r="O210" s="107">
        <v>2.6</v>
      </c>
      <c r="P210" s="107">
        <f t="shared" si="62"/>
        <v>6841.2871800000012</v>
      </c>
      <c r="Q210" s="153">
        <f t="shared" si="63"/>
        <v>18435.690191520003</v>
      </c>
      <c r="R210" s="116"/>
      <c r="S210" s="129">
        <f t="shared" si="52"/>
        <v>9.0656024200000012</v>
      </c>
      <c r="T210" s="130">
        <f t="shared" si="53"/>
        <v>23853.996005739613</v>
      </c>
    </row>
    <row r="211" spans="1:20" s="7" customFormat="1" x14ac:dyDescent="0.25">
      <c r="A211" s="110">
        <f>IF(J211&lt;&gt;"",1+MAX($A$17:A210),"")</f>
        <v>167</v>
      </c>
      <c r="B211" s="104" t="s">
        <v>744</v>
      </c>
      <c r="C211" s="104" t="s">
        <v>745</v>
      </c>
      <c r="D211" s="102" t="s">
        <v>50</v>
      </c>
      <c r="E211" s="117" t="s">
        <v>168</v>
      </c>
      <c r="F211" s="240" t="s">
        <v>809</v>
      </c>
      <c r="G211" s="103">
        <f>189.95*10</f>
        <v>1899.5</v>
      </c>
      <c r="H211" s="51">
        <f>IF(VLOOKUP(J211,'HOURLY RATES'!B$116:C$124,2,0)=0,$J$3,VLOOKUP(J211,'HOURLY RATES'!B$116:C$124,2,0))</f>
        <v>0.05</v>
      </c>
      <c r="I211" s="52">
        <f t="shared" si="59"/>
        <v>1994.4750000000001</v>
      </c>
      <c r="J211" s="101" t="s">
        <v>253</v>
      </c>
      <c r="K211" s="150">
        <v>4.3200000000000002E-2</v>
      </c>
      <c r="L211" s="151">
        <f t="shared" si="60"/>
        <v>86.161320000000003</v>
      </c>
      <c r="M211" s="57">
        <f>IF(VLOOKUP(E211,'HOURLY RATES'!C$6:D$105,2,0)=0,$E$3,VLOOKUP(E211,'HOURLY RATES'!C$6:D$105,2,0))</f>
        <v>102</v>
      </c>
      <c r="N211" s="152">
        <f t="shared" si="61"/>
        <v>8788.4546399999999</v>
      </c>
      <c r="O211" s="107">
        <v>2.6</v>
      </c>
      <c r="P211" s="107">
        <f t="shared" si="62"/>
        <v>5185.6350000000002</v>
      </c>
      <c r="Q211" s="153">
        <f t="shared" si="63"/>
        <v>13974.08964</v>
      </c>
      <c r="R211" s="116"/>
      <c r="S211" s="129">
        <f t="shared" si="52"/>
        <v>9.0656024199999976</v>
      </c>
      <c r="T211" s="130">
        <f t="shared" si="53"/>
        <v>18081.117386629496</v>
      </c>
    </row>
    <row r="212" spans="1:20" s="7" customFormat="1" x14ac:dyDescent="0.25">
      <c r="A212" s="110">
        <f>IF(J212&lt;&gt;"",1+MAX($A$17:A211),"")</f>
        <v>168</v>
      </c>
      <c r="B212" s="104" t="s">
        <v>744</v>
      </c>
      <c r="C212" s="104" t="s">
        <v>745</v>
      </c>
      <c r="D212" s="102" t="s">
        <v>50</v>
      </c>
      <c r="E212" s="117" t="s">
        <v>168</v>
      </c>
      <c r="F212" s="240" t="s">
        <v>915</v>
      </c>
      <c r="G212" s="103">
        <f>564.91*42</f>
        <v>23726.219999999998</v>
      </c>
      <c r="H212" s="51">
        <f>IF(VLOOKUP(J212,'HOURLY RATES'!B$116:C$124,2,0)=0,$J$3,VLOOKUP(J212,'HOURLY RATES'!B$116:C$124,2,0))</f>
        <v>0.05</v>
      </c>
      <c r="I212" s="52">
        <f t="shared" si="59"/>
        <v>24912.530999999999</v>
      </c>
      <c r="J212" s="101" t="s">
        <v>253</v>
      </c>
      <c r="K212" s="150">
        <v>4.3200000000000002E-2</v>
      </c>
      <c r="L212" s="151">
        <f t="shared" si="60"/>
        <v>1076.2213392000001</v>
      </c>
      <c r="M212" s="57">
        <f>IF(VLOOKUP(E212,'HOURLY RATES'!C$6:D$105,2,0)=0,$E$3,VLOOKUP(E212,'HOURLY RATES'!C$6:D$105,2,0))</f>
        <v>102</v>
      </c>
      <c r="N212" s="152">
        <f t="shared" si="61"/>
        <v>109774.57659840002</v>
      </c>
      <c r="O212" s="107">
        <v>2.6</v>
      </c>
      <c r="P212" s="107">
        <f t="shared" si="62"/>
        <v>64772.580600000001</v>
      </c>
      <c r="Q212" s="153">
        <f t="shared" si="63"/>
        <v>174547.1571984</v>
      </c>
      <c r="R212" s="116"/>
      <c r="S212" s="129">
        <f t="shared" si="52"/>
        <v>9.0656024200000012</v>
      </c>
      <c r="T212" s="130">
        <f t="shared" si="53"/>
        <v>225847.10132192503</v>
      </c>
    </row>
    <row r="213" spans="1:20" s="7" customFormat="1" x14ac:dyDescent="0.25">
      <c r="A213" s="110">
        <f>IF(J213&lt;&gt;"",1+MAX($A$17:A212),"")</f>
        <v>169</v>
      </c>
      <c r="B213" s="104" t="s">
        <v>744</v>
      </c>
      <c r="C213" s="104" t="s">
        <v>745</v>
      </c>
      <c r="D213" s="102" t="s">
        <v>50</v>
      </c>
      <c r="E213" s="117" t="s">
        <v>168</v>
      </c>
      <c r="F213" s="240" t="s">
        <v>916</v>
      </c>
      <c r="G213" s="103">
        <f>1152.58*16</f>
        <v>18441.28</v>
      </c>
      <c r="H213" s="51">
        <f>IF(VLOOKUP(J213,'HOURLY RATES'!B$116:C$124,2,0)=0,$J$3,VLOOKUP(J213,'HOURLY RATES'!B$116:C$124,2,0))</f>
        <v>0.05</v>
      </c>
      <c r="I213" s="52">
        <f t="shared" si="59"/>
        <v>19363.344000000001</v>
      </c>
      <c r="J213" s="101" t="s">
        <v>253</v>
      </c>
      <c r="K213" s="150">
        <v>4.3200000000000002E-2</v>
      </c>
      <c r="L213" s="151">
        <f t="shared" si="60"/>
        <v>836.49646080000014</v>
      </c>
      <c r="M213" s="57">
        <f>IF(VLOOKUP(E213,'HOURLY RATES'!C$6:D$105,2,0)=0,$E$3,VLOOKUP(E213,'HOURLY RATES'!C$6:D$105,2,0))</f>
        <v>102</v>
      </c>
      <c r="N213" s="152">
        <f t="shared" si="61"/>
        <v>85322.639001600008</v>
      </c>
      <c r="O213" s="107">
        <v>2.6</v>
      </c>
      <c r="P213" s="107">
        <f t="shared" si="62"/>
        <v>50344.694400000008</v>
      </c>
      <c r="Q213" s="153">
        <f t="shared" si="63"/>
        <v>135667.33340160002</v>
      </c>
      <c r="R213" s="116"/>
      <c r="S213" s="129">
        <f t="shared" ref="S213:S234" si="64">((((N213*(1+$D$7))+(P213*(1+$D$5+$D$6)))*(1+$D$8)))/I213</f>
        <v>9.0656024199999994</v>
      </c>
      <c r="T213" s="130">
        <f t="shared" ref="T213:T234" si="65">S213*I213</f>
        <v>175540.37822569249</v>
      </c>
    </row>
    <row r="214" spans="1:20" s="7" customFormat="1" x14ac:dyDescent="0.25">
      <c r="A214" s="110">
        <f>IF(J214&lt;&gt;"",1+MAX($A$17:A213),"")</f>
        <v>170</v>
      </c>
      <c r="B214" s="104" t="s">
        <v>744</v>
      </c>
      <c r="C214" s="104" t="s">
        <v>745</v>
      </c>
      <c r="D214" s="102" t="s">
        <v>50</v>
      </c>
      <c r="E214" s="117" t="s">
        <v>168</v>
      </c>
      <c r="F214" s="240" t="s">
        <v>917</v>
      </c>
      <c r="G214" s="103">
        <v>1136.31</v>
      </c>
      <c r="H214" s="51">
        <f>IF(VLOOKUP(J214,'HOURLY RATES'!B$116:C$124,2,0)=0,$J$3,VLOOKUP(J214,'HOURLY RATES'!B$116:C$124,2,0))</f>
        <v>0.05</v>
      </c>
      <c r="I214" s="52">
        <f t="shared" si="59"/>
        <v>1193.1255000000001</v>
      </c>
      <c r="J214" s="101" t="s">
        <v>253</v>
      </c>
      <c r="K214" s="150">
        <v>4.3200000000000002E-2</v>
      </c>
      <c r="L214" s="151">
        <f t="shared" si="60"/>
        <v>51.54302160000001</v>
      </c>
      <c r="M214" s="57">
        <f>IF(VLOOKUP(E214,'HOURLY RATES'!C$6:D$105,2,0)=0,$E$3,VLOOKUP(E214,'HOURLY RATES'!C$6:D$105,2,0))</f>
        <v>102</v>
      </c>
      <c r="N214" s="152">
        <f t="shared" si="61"/>
        <v>5257.388203200001</v>
      </c>
      <c r="O214" s="107">
        <v>2.6</v>
      </c>
      <c r="P214" s="107">
        <f t="shared" si="62"/>
        <v>3102.1263000000004</v>
      </c>
      <c r="Q214" s="153">
        <f t="shared" si="63"/>
        <v>8359.5145032000019</v>
      </c>
      <c r="R214" s="116"/>
      <c r="S214" s="129">
        <f t="shared" si="64"/>
        <v>9.0656024199999994</v>
      </c>
      <c r="T214" s="130">
        <f t="shared" si="65"/>
        <v>10816.401420163711</v>
      </c>
    </row>
    <row r="215" spans="1:20" s="7" customFormat="1" x14ac:dyDescent="0.25">
      <c r="A215" s="110">
        <f>IF(J215&lt;&gt;"",1+MAX($A$17:A214),"")</f>
        <v>171</v>
      </c>
      <c r="B215" s="104" t="s">
        <v>744</v>
      </c>
      <c r="C215" s="104" t="s">
        <v>745</v>
      </c>
      <c r="D215" s="102" t="s">
        <v>50</v>
      </c>
      <c r="E215" s="117" t="s">
        <v>168</v>
      </c>
      <c r="F215" s="240" t="s">
        <v>918</v>
      </c>
      <c r="G215" s="103">
        <v>160.91999999999999</v>
      </c>
      <c r="H215" s="51">
        <f>IF(VLOOKUP(J215,'HOURLY RATES'!B$116:C$124,2,0)=0,$J$3,VLOOKUP(J215,'HOURLY RATES'!B$116:C$124,2,0))</f>
        <v>0.05</v>
      </c>
      <c r="I215" s="52">
        <f t="shared" si="59"/>
        <v>168.96600000000001</v>
      </c>
      <c r="J215" s="101" t="s">
        <v>253</v>
      </c>
      <c r="K215" s="150">
        <v>4.3200000000000002E-2</v>
      </c>
      <c r="L215" s="151">
        <f t="shared" si="60"/>
        <v>7.299331200000001</v>
      </c>
      <c r="M215" s="57">
        <f>IF(VLOOKUP(E215,'HOURLY RATES'!C$6:D$105,2,0)=0,$E$3,VLOOKUP(E215,'HOURLY RATES'!C$6:D$105,2,0))</f>
        <v>102</v>
      </c>
      <c r="N215" s="152">
        <f t="shared" si="61"/>
        <v>744.53178240000011</v>
      </c>
      <c r="O215" s="107">
        <v>2.6</v>
      </c>
      <c r="P215" s="107">
        <f t="shared" si="62"/>
        <v>439.31160000000006</v>
      </c>
      <c r="Q215" s="153">
        <f t="shared" si="63"/>
        <v>1183.8433824000001</v>
      </c>
      <c r="R215" s="116"/>
      <c r="S215" s="129">
        <f t="shared" si="64"/>
        <v>9.0656024200000012</v>
      </c>
      <c r="T215" s="130">
        <f t="shared" si="65"/>
        <v>1531.7785784977202</v>
      </c>
    </row>
    <row r="216" spans="1:20" s="7" customFormat="1" x14ac:dyDescent="0.25">
      <c r="A216" s="110">
        <f>IF(J216&lt;&gt;"",1+MAX($A$17:A215),"")</f>
        <v>172</v>
      </c>
      <c r="B216" s="104" t="s">
        <v>744</v>
      </c>
      <c r="C216" s="104" t="s">
        <v>745</v>
      </c>
      <c r="D216" s="102" t="s">
        <v>50</v>
      </c>
      <c r="E216" s="117" t="s">
        <v>168</v>
      </c>
      <c r="F216" s="240" t="s">
        <v>919</v>
      </c>
      <c r="G216" s="103">
        <v>455.61</v>
      </c>
      <c r="H216" s="51">
        <f>IF(VLOOKUP(J216,'HOURLY RATES'!B$116:C$124,2,0)=0,$J$3,VLOOKUP(J216,'HOURLY RATES'!B$116:C$124,2,0))</f>
        <v>0.05</v>
      </c>
      <c r="I216" s="52">
        <f t="shared" si="59"/>
        <v>478.39050000000003</v>
      </c>
      <c r="J216" s="101" t="s">
        <v>253</v>
      </c>
      <c r="K216" s="150">
        <v>4.3200000000000002E-2</v>
      </c>
      <c r="L216" s="151">
        <f t="shared" si="60"/>
        <v>20.666469600000003</v>
      </c>
      <c r="M216" s="57">
        <f>IF(VLOOKUP(E216,'HOURLY RATES'!C$6:D$105,2,0)=0,$E$3,VLOOKUP(E216,'HOURLY RATES'!C$6:D$105,2,0))</f>
        <v>102</v>
      </c>
      <c r="N216" s="152">
        <f t="shared" si="61"/>
        <v>2107.9798992000001</v>
      </c>
      <c r="O216" s="107">
        <v>2.6</v>
      </c>
      <c r="P216" s="107">
        <f t="shared" si="62"/>
        <v>1243.8153000000002</v>
      </c>
      <c r="Q216" s="153">
        <f t="shared" si="63"/>
        <v>3351.7951992000003</v>
      </c>
      <c r="R216" s="116"/>
      <c r="S216" s="129">
        <f t="shared" si="64"/>
        <v>9.0656024199999976</v>
      </c>
      <c r="T216" s="130">
        <f t="shared" si="65"/>
        <v>4336.8980745050094</v>
      </c>
    </row>
    <row r="217" spans="1:20" s="7" customFormat="1" x14ac:dyDescent="0.25">
      <c r="A217" s="110" t="str">
        <f>IF(J217&lt;&gt;"",1+MAX($A$17:A216),"")</f>
        <v/>
      </c>
      <c r="B217" s="104"/>
      <c r="C217" s="108"/>
      <c r="D217" s="102"/>
      <c r="E217" s="117"/>
      <c r="F217" s="240" t="s">
        <v>248</v>
      </c>
      <c r="G217" s="103"/>
      <c r="H217" s="105"/>
      <c r="I217" s="106"/>
      <c r="J217" s="101"/>
      <c r="K217" s="150"/>
      <c r="L217" s="151"/>
      <c r="M217" s="152"/>
      <c r="N217" s="152"/>
      <c r="O217" s="107"/>
      <c r="P217" s="107"/>
      <c r="Q217" s="153"/>
      <c r="R217" s="116"/>
      <c r="S217" s="129"/>
      <c r="T217" s="130"/>
    </row>
    <row r="218" spans="1:20" s="7" customFormat="1" x14ac:dyDescent="0.25">
      <c r="A218" s="110" t="str">
        <f>IF(J218&lt;&gt;"",1+MAX($A$17:A217),"")</f>
        <v/>
      </c>
      <c r="B218" s="104"/>
      <c r="C218" s="108"/>
      <c r="D218" s="102"/>
      <c r="E218" s="117"/>
      <c r="F218" s="239" t="s">
        <v>810</v>
      </c>
      <c r="G218" s="103"/>
      <c r="H218" s="105"/>
      <c r="I218" s="106"/>
      <c r="J218" s="101"/>
      <c r="K218" s="150"/>
      <c r="L218" s="151"/>
      <c r="M218" s="152"/>
      <c r="N218" s="152"/>
      <c r="O218" s="107"/>
      <c r="P218" s="107"/>
      <c r="Q218" s="153"/>
      <c r="R218" s="116"/>
      <c r="S218" s="129"/>
      <c r="T218" s="130"/>
    </row>
    <row r="219" spans="1:20" s="7" customFormat="1" x14ac:dyDescent="0.25">
      <c r="A219" s="110">
        <f>IF(J219&lt;&gt;"",1+MAX($A$17:A218),"")</f>
        <v>173</v>
      </c>
      <c r="B219" s="104" t="s">
        <v>744</v>
      </c>
      <c r="C219" s="104" t="s">
        <v>745</v>
      </c>
      <c r="D219" s="102" t="s">
        <v>50</v>
      </c>
      <c r="E219" s="117" t="s">
        <v>168</v>
      </c>
      <c r="F219" s="240" t="s">
        <v>920</v>
      </c>
      <c r="G219" s="103">
        <v>49005.87</v>
      </c>
      <c r="H219" s="51">
        <f>IF(VLOOKUP(J219,'HOURLY RATES'!B$116:C$124,2,0)=0,$J$3,VLOOKUP(J219,'HOURLY RATES'!B$116:C$124,2,0))</f>
        <v>0.05</v>
      </c>
      <c r="I219" s="52">
        <f t="shared" ref="I219:I222" si="66">(G219*(1+H219))</f>
        <v>51456.163500000002</v>
      </c>
      <c r="J219" s="101" t="s">
        <v>253</v>
      </c>
      <c r="K219" s="150">
        <v>4.3200000000000002E-2</v>
      </c>
      <c r="L219" s="151">
        <f t="shared" ref="L219:L222" si="67">K219*I219</f>
        <v>2222.9062632</v>
      </c>
      <c r="M219" s="57">
        <f>IF(VLOOKUP(E219,'HOURLY RATES'!C$6:D$105,2,0)=0,$E$3,VLOOKUP(E219,'HOURLY RATES'!C$6:D$105,2,0))</f>
        <v>102</v>
      </c>
      <c r="N219" s="152">
        <f t="shared" ref="N219:N222" si="68">M219*L219</f>
        <v>226736.43884640001</v>
      </c>
      <c r="O219" s="107">
        <v>2.6</v>
      </c>
      <c r="P219" s="107">
        <f t="shared" ref="P219:P222" si="69">O219*I219</f>
        <v>133786.0251</v>
      </c>
      <c r="Q219" s="153">
        <f t="shared" ref="Q219:Q222" si="70">P219+N219</f>
        <v>360522.46394639998</v>
      </c>
      <c r="R219" s="116"/>
      <c r="S219" s="129">
        <f t="shared" si="64"/>
        <v>9.0656024199999994</v>
      </c>
      <c r="T219" s="130">
        <f t="shared" si="65"/>
        <v>466481.12034951564</v>
      </c>
    </row>
    <row r="220" spans="1:20" s="7" customFormat="1" x14ac:dyDescent="0.25">
      <c r="A220" s="110">
        <f>IF(J220&lt;&gt;"",1+MAX($A$17:A219),"")</f>
        <v>174</v>
      </c>
      <c r="B220" s="104" t="s">
        <v>744</v>
      </c>
      <c r="C220" s="104" t="s">
        <v>745</v>
      </c>
      <c r="D220" s="102" t="s">
        <v>50</v>
      </c>
      <c r="E220" s="117" t="s">
        <v>168</v>
      </c>
      <c r="F220" s="240" t="s">
        <v>921</v>
      </c>
      <c r="G220" s="103">
        <v>64578.45</v>
      </c>
      <c r="H220" s="51">
        <f>IF(VLOOKUP(J220,'HOURLY RATES'!B$116:C$124,2,0)=0,$J$3,VLOOKUP(J220,'HOURLY RATES'!B$116:C$124,2,0))</f>
        <v>0.05</v>
      </c>
      <c r="I220" s="52">
        <f t="shared" si="66"/>
        <v>67807.372499999998</v>
      </c>
      <c r="J220" s="101" t="s">
        <v>253</v>
      </c>
      <c r="K220" s="150">
        <v>4.3200000000000002E-2</v>
      </c>
      <c r="L220" s="151">
        <f t="shared" si="67"/>
        <v>2929.2784919999999</v>
      </c>
      <c r="M220" s="57">
        <f>IF(VLOOKUP(E220,'HOURLY RATES'!C$6:D$105,2,0)=0,$E$3,VLOOKUP(E220,'HOURLY RATES'!C$6:D$105,2,0))</f>
        <v>102</v>
      </c>
      <c r="N220" s="152">
        <f t="shared" si="68"/>
        <v>298786.40618399996</v>
      </c>
      <c r="O220" s="107">
        <v>2.6</v>
      </c>
      <c r="P220" s="107">
        <f t="shared" si="69"/>
        <v>176299.1685</v>
      </c>
      <c r="Q220" s="153">
        <f t="shared" si="70"/>
        <v>475085.57468399999</v>
      </c>
      <c r="R220" s="116"/>
      <c r="S220" s="129">
        <f t="shared" si="64"/>
        <v>9.0656024199999994</v>
      </c>
      <c r="T220" s="130">
        <f t="shared" si="65"/>
        <v>614714.68022984138</v>
      </c>
    </row>
    <row r="221" spans="1:20" s="7" customFormat="1" x14ac:dyDescent="0.25">
      <c r="A221" s="110">
        <f>IF(J221&lt;&gt;"",1+MAX($A$17:A220),"")</f>
        <v>175</v>
      </c>
      <c r="B221" s="104" t="s">
        <v>744</v>
      </c>
      <c r="C221" s="104" t="s">
        <v>745</v>
      </c>
      <c r="D221" s="102" t="s">
        <v>50</v>
      </c>
      <c r="E221" s="117" t="s">
        <v>168</v>
      </c>
      <c r="F221" s="240" t="s">
        <v>922</v>
      </c>
      <c r="G221" s="103">
        <v>1117.9000000000001</v>
      </c>
      <c r="H221" s="51">
        <f>IF(VLOOKUP(J221,'HOURLY RATES'!B$116:C$124,2,0)=0,$J$3,VLOOKUP(J221,'HOURLY RATES'!B$116:C$124,2,0))</f>
        <v>0.05</v>
      </c>
      <c r="I221" s="52">
        <f t="shared" si="66"/>
        <v>1173.7950000000001</v>
      </c>
      <c r="J221" s="101" t="s">
        <v>253</v>
      </c>
      <c r="K221" s="150">
        <v>4.3200000000000002E-2</v>
      </c>
      <c r="L221" s="151">
        <f t="shared" si="67"/>
        <v>50.707944000000005</v>
      </c>
      <c r="M221" s="57">
        <f>IF(VLOOKUP(E221,'HOURLY RATES'!C$6:D$105,2,0)=0,$E$3,VLOOKUP(E221,'HOURLY RATES'!C$6:D$105,2,0))</f>
        <v>102</v>
      </c>
      <c r="N221" s="152">
        <f t="shared" si="68"/>
        <v>5172.2102880000002</v>
      </c>
      <c r="O221" s="107">
        <v>2.6</v>
      </c>
      <c r="P221" s="107">
        <f t="shared" si="69"/>
        <v>3051.8670000000002</v>
      </c>
      <c r="Q221" s="153">
        <f t="shared" si="70"/>
        <v>8224.0772880000004</v>
      </c>
      <c r="R221" s="116"/>
      <c r="S221" s="129">
        <f t="shared" si="64"/>
        <v>9.0656024200000012</v>
      </c>
      <c r="T221" s="130">
        <f t="shared" si="65"/>
        <v>10641.158792583901</v>
      </c>
    </row>
    <row r="222" spans="1:20" s="7" customFormat="1" x14ac:dyDescent="0.25">
      <c r="A222" s="110">
        <f>IF(J222&lt;&gt;"",1+MAX($A$17:A221),"")</f>
        <v>176</v>
      </c>
      <c r="B222" s="104" t="s">
        <v>744</v>
      </c>
      <c r="C222" s="104" t="s">
        <v>745</v>
      </c>
      <c r="D222" s="102" t="s">
        <v>50</v>
      </c>
      <c r="E222" s="117" t="s">
        <v>168</v>
      </c>
      <c r="F222" s="240" t="s">
        <v>923</v>
      </c>
      <c r="G222" s="103">
        <v>29536.52</v>
      </c>
      <c r="H222" s="51">
        <f>IF(VLOOKUP(J222,'HOURLY RATES'!B$116:C$124,2,0)=0,$J$3,VLOOKUP(J222,'HOURLY RATES'!B$116:C$124,2,0))</f>
        <v>0.05</v>
      </c>
      <c r="I222" s="52">
        <f t="shared" si="66"/>
        <v>31013.346000000001</v>
      </c>
      <c r="J222" s="101" t="s">
        <v>253</v>
      </c>
      <c r="K222" s="150">
        <v>4.3200000000000002E-2</v>
      </c>
      <c r="L222" s="151">
        <f t="shared" si="67"/>
        <v>1339.7765472000001</v>
      </c>
      <c r="M222" s="57">
        <f>IF(VLOOKUP(E222,'HOURLY RATES'!C$6:D$105,2,0)=0,$E$3,VLOOKUP(E222,'HOURLY RATES'!C$6:D$105,2,0))</f>
        <v>102</v>
      </c>
      <c r="N222" s="152">
        <f t="shared" si="68"/>
        <v>136657.2078144</v>
      </c>
      <c r="O222" s="107">
        <v>2.6</v>
      </c>
      <c r="P222" s="107">
        <f t="shared" si="69"/>
        <v>80634.699600000007</v>
      </c>
      <c r="Q222" s="153">
        <f t="shared" si="70"/>
        <v>217291.90741440002</v>
      </c>
      <c r="R222" s="116"/>
      <c r="S222" s="129">
        <f t="shared" si="64"/>
        <v>9.0656024199999994</v>
      </c>
      <c r="T222" s="130">
        <f t="shared" si="65"/>
        <v>281154.66454989731</v>
      </c>
    </row>
    <row r="223" spans="1:20" s="7" customFormat="1" x14ac:dyDescent="0.25">
      <c r="A223" s="110" t="str">
        <f>IF(J223&lt;&gt;"",1+MAX($A$17:A222),"")</f>
        <v/>
      </c>
      <c r="B223" s="104"/>
      <c r="C223" s="108"/>
      <c r="D223" s="102"/>
      <c r="E223" s="117"/>
      <c r="F223" s="240" t="s">
        <v>248</v>
      </c>
      <c r="G223" s="103"/>
      <c r="H223" s="105"/>
      <c r="I223" s="106"/>
      <c r="J223" s="101"/>
      <c r="K223" s="150"/>
      <c r="L223" s="151"/>
      <c r="M223" s="152"/>
      <c r="N223" s="152"/>
      <c r="O223" s="107"/>
      <c r="P223" s="107"/>
      <c r="Q223" s="153"/>
      <c r="R223" s="116"/>
      <c r="S223" s="129"/>
      <c r="T223" s="130"/>
    </row>
    <row r="224" spans="1:20" s="7" customFormat="1" x14ac:dyDescent="0.25">
      <c r="A224" s="110" t="str">
        <f>IF(J224&lt;&gt;"",1+MAX($A$17:A223),"")</f>
        <v/>
      </c>
      <c r="B224" s="104"/>
      <c r="C224" s="108"/>
      <c r="D224" s="102"/>
      <c r="E224" s="117"/>
      <c r="F224" s="239" t="s">
        <v>811</v>
      </c>
      <c r="G224" s="103"/>
      <c r="H224" s="105"/>
      <c r="I224" s="106"/>
      <c r="J224" s="101"/>
      <c r="K224" s="150"/>
      <c r="L224" s="151"/>
      <c r="M224" s="152"/>
      <c r="N224" s="152"/>
      <c r="O224" s="107"/>
      <c r="P224" s="107"/>
      <c r="Q224" s="153"/>
      <c r="R224" s="116"/>
      <c r="S224" s="129"/>
      <c r="T224" s="130"/>
    </row>
    <row r="225" spans="1:21" s="7" customFormat="1" x14ac:dyDescent="0.25">
      <c r="A225" s="110">
        <f>IF(J225&lt;&gt;"",1+MAX($A$17:A224),"")</f>
        <v>177</v>
      </c>
      <c r="B225" s="104" t="s">
        <v>744</v>
      </c>
      <c r="C225" s="104" t="s">
        <v>745</v>
      </c>
      <c r="D225" s="102" t="s">
        <v>50</v>
      </c>
      <c r="E225" s="117" t="s">
        <v>168</v>
      </c>
      <c r="F225" s="240" t="s">
        <v>812</v>
      </c>
      <c r="G225" s="103">
        <f>281.39*6.1</f>
        <v>1716.4789999999998</v>
      </c>
      <c r="H225" s="51">
        <f>IF(VLOOKUP(J225,'HOURLY RATES'!B$116:C$124,2,0)=0,$J$3,VLOOKUP(J225,'HOURLY RATES'!B$116:C$124,2,0))</f>
        <v>0.05</v>
      </c>
      <c r="I225" s="52">
        <f t="shared" ref="I225" si="71">(G225*(1+H225))</f>
        <v>1802.3029499999998</v>
      </c>
      <c r="J225" s="101" t="s">
        <v>253</v>
      </c>
      <c r="K225" s="150">
        <v>4.3200000000000002E-2</v>
      </c>
      <c r="L225" s="151">
        <f t="shared" ref="L225" si="72">K225*I225</f>
        <v>77.859487439999995</v>
      </c>
      <c r="M225" s="57">
        <f>IF(VLOOKUP(E225,'HOURLY RATES'!C$6:D$105,2,0)=0,$E$3,VLOOKUP(E225,'HOURLY RATES'!C$6:D$105,2,0))</f>
        <v>102</v>
      </c>
      <c r="N225" s="152">
        <f t="shared" ref="N225" si="73">M225*L225</f>
        <v>7941.6677188799995</v>
      </c>
      <c r="O225" s="107">
        <v>2.6</v>
      </c>
      <c r="P225" s="107">
        <f t="shared" ref="P225" si="74">O225*I225</f>
        <v>4685.9876699999995</v>
      </c>
      <c r="Q225" s="153">
        <f t="shared" ref="Q225" si="75">P225+N225</f>
        <v>12627.655388879999</v>
      </c>
      <c r="R225" s="116"/>
      <c r="S225" s="129">
        <f t="shared" si="64"/>
        <v>9.0656024199999994</v>
      </c>
      <c r="T225" s="130">
        <f t="shared" si="65"/>
        <v>16338.961985093136</v>
      </c>
    </row>
    <row r="226" spans="1:21" s="7" customFormat="1" x14ac:dyDescent="0.25">
      <c r="A226" s="110" t="str">
        <f>IF(J226&lt;&gt;"",1+MAX($A$17:A225),"")</f>
        <v/>
      </c>
      <c r="B226" s="104"/>
      <c r="C226" s="108"/>
      <c r="D226" s="102"/>
      <c r="E226" s="117"/>
      <c r="F226" s="240" t="s">
        <v>248</v>
      </c>
      <c r="G226" s="103"/>
      <c r="H226" s="105"/>
      <c r="I226" s="106"/>
      <c r="J226" s="101"/>
      <c r="K226" s="150"/>
      <c r="L226" s="151"/>
      <c r="M226" s="152"/>
      <c r="N226" s="152"/>
      <c r="O226" s="107"/>
      <c r="P226" s="107"/>
      <c r="Q226" s="153"/>
      <c r="R226" s="116"/>
      <c r="S226" s="129"/>
      <c r="T226" s="130"/>
    </row>
    <row r="227" spans="1:21" s="7" customFormat="1" x14ac:dyDescent="0.25">
      <c r="A227" s="110" t="str">
        <f>IF(J227&lt;&gt;"",1+MAX($A$17:A226),"")</f>
        <v/>
      </c>
      <c r="B227" s="104"/>
      <c r="C227" s="108"/>
      <c r="D227" s="102"/>
      <c r="E227" s="117"/>
      <c r="F227" s="239" t="s">
        <v>813</v>
      </c>
      <c r="G227" s="103"/>
      <c r="H227" s="105"/>
      <c r="I227" s="106"/>
      <c r="J227" s="101"/>
      <c r="K227" s="150"/>
      <c r="L227" s="151"/>
      <c r="M227" s="152"/>
      <c r="N227" s="152"/>
      <c r="O227" s="107"/>
      <c r="P227" s="107"/>
      <c r="Q227" s="153"/>
      <c r="R227" s="116"/>
      <c r="S227" s="129"/>
      <c r="T227" s="130"/>
    </row>
    <row r="228" spans="1:21" s="7" customFormat="1" x14ac:dyDescent="0.25">
      <c r="A228" s="110">
        <f>IF(J228&lt;&gt;"",1+MAX($A$17:A227),"")</f>
        <v>178</v>
      </c>
      <c r="B228" s="104" t="s">
        <v>744</v>
      </c>
      <c r="C228" s="104" t="s">
        <v>745</v>
      </c>
      <c r="D228" s="102" t="s">
        <v>50</v>
      </c>
      <c r="E228" s="117" t="s">
        <v>168</v>
      </c>
      <c r="F228" s="240" t="s">
        <v>916</v>
      </c>
      <c r="G228" s="103">
        <v>1152.58</v>
      </c>
      <c r="H228" s="51">
        <f>IF(VLOOKUP(J228,'HOURLY RATES'!B$116:C$124,2,0)=0,$J$3,VLOOKUP(J228,'HOURLY RATES'!B$116:C$124,2,0))</f>
        <v>0.05</v>
      </c>
      <c r="I228" s="52">
        <f t="shared" ref="I228:I231" si="76">(G228*(1+H228))</f>
        <v>1210.2090000000001</v>
      </c>
      <c r="J228" s="101" t="s">
        <v>250</v>
      </c>
      <c r="K228" s="150">
        <v>0.56025000000000003</v>
      </c>
      <c r="L228" s="151">
        <f t="shared" ref="L228:L231" si="77">K228*I228</f>
        <v>678.01959225000007</v>
      </c>
      <c r="M228" s="57">
        <f>IF(VLOOKUP(E228,'HOURLY RATES'!C$6:D$105,2,0)=0,$E$3,VLOOKUP(E228,'HOURLY RATES'!C$6:D$105,2,0))</f>
        <v>102</v>
      </c>
      <c r="N228" s="152">
        <f t="shared" ref="N228:N231" si="78">M228*L228</f>
        <v>69157.998409500011</v>
      </c>
      <c r="O228" s="107">
        <v>50</v>
      </c>
      <c r="P228" s="107">
        <f t="shared" ref="P228:P231" si="79">O228*I228</f>
        <v>60510.450000000004</v>
      </c>
      <c r="Q228" s="153">
        <f t="shared" ref="Q228:Q231" si="80">P228+N228</f>
        <v>129668.44840950001</v>
      </c>
      <c r="R228" s="116"/>
      <c r="S228" s="129">
        <f t="shared" si="64"/>
        <v>139.32993812500001</v>
      </c>
      <c r="T228" s="130">
        <f t="shared" si="65"/>
        <v>168618.34508831814</v>
      </c>
    </row>
    <row r="229" spans="1:21" s="7" customFormat="1" x14ac:dyDescent="0.25">
      <c r="A229" s="110">
        <f>IF(J229&lt;&gt;"",1+MAX($A$17:A228),"")</f>
        <v>179</v>
      </c>
      <c r="B229" s="104" t="s">
        <v>744</v>
      </c>
      <c r="C229" s="104" t="s">
        <v>745</v>
      </c>
      <c r="D229" s="102" t="s">
        <v>50</v>
      </c>
      <c r="E229" s="117" t="s">
        <v>168</v>
      </c>
      <c r="F229" s="240" t="s">
        <v>917</v>
      </c>
      <c r="G229" s="103">
        <v>1136.31</v>
      </c>
      <c r="H229" s="51">
        <f>IF(VLOOKUP(J229,'HOURLY RATES'!B$116:C$124,2,0)=0,$J$3,VLOOKUP(J229,'HOURLY RATES'!B$116:C$124,2,0))</f>
        <v>0.05</v>
      </c>
      <c r="I229" s="52">
        <f t="shared" si="76"/>
        <v>1193.1255000000001</v>
      </c>
      <c r="J229" s="101" t="s">
        <v>250</v>
      </c>
      <c r="K229" s="150">
        <v>0.51543000000000005</v>
      </c>
      <c r="L229" s="151">
        <f t="shared" si="77"/>
        <v>614.97267646500006</v>
      </c>
      <c r="M229" s="57">
        <f>IF(VLOOKUP(E229,'HOURLY RATES'!C$6:D$105,2,0)=0,$E$3,VLOOKUP(E229,'HOURLY RATES'!C$6:D$105,2,0))</f>
        <v>102</v>
      </c>
      <c r="N229" s="152">
        <f t="shared" si="78"/>
        <v>62727.212999430005</v>
      </c>
      <c r="O229" s="107">
        <v>46</v>
      </c>
      <c r="P229" s="107">
        <f t="shared" si="79"/>
        <v>54883.773000000001</v>
      </c>
      <c r="Q229" s="153">
        <f t="shared" si="80"/>
        <v>117610.98599943001</v>
      </c>
      <c r="R229" s="116"/>
      <c r="S229" s="129">
        <f t="shared" si="64"/>
        <v>128.18354307499999</v>
      </c>
      <c r="T229" s="130">
        <f t="shared" si="65"/>
        <v>152939.05392313091</v>
      </c>
    </row>
    <row r="230" spans="1:21" s="7" customFormat="1" x14ac:dyDescent="0.25">
      <c r="A230" s="110">
        <f>IF(J230&lt;&gt;"",1+MAX($A$17:A229),"")</f>
        <v>180</v>
      </c>
      <c r="B230" s="104" t="s">
        <v>744</v>
      </c>
      <c r="C230" s="104" t="s">
        <v>745</v>
      </c>
      <c r="D230" s="102" t="s">
        <v>50</v>
      </c>
      <c r="E230" s="117" t="s">
        <v>168</v>
      </c>
      <c r="F230" s="240" t="s">
        <v>918</v>
      </c>
      <c r="G230" s="103">
        <v>160.91999999999999</v>
      </c>
      <c r="H230" s="51">
        <f>IF(VLOOKUP(J230,'HOURLY RATES'!B$116:C$124,2,0)=0,$J$3,VLOOKUP(J230,'HOURLY RATES'!B$116:C$124,2,0))</f>
        <v>0.05</v>
      </c>
      <c r="I230" s="52">
        <f t="shared" si="76"/>
        <v>168.96600000000001</v>
      </c>
      <c r="J230" s="101" t="s">
        <v>250</v>
      </c>
      <c r="K230" s="150">
        <v>0.31374000000000002</v>
      </c>
      <c r="L230" s="151">
        <f t="shared" si="77"/>
        <v>53.011392840000006</v>
      </c>
      <c r="M230" s="57">
        <f>IF(VLOOKUP(E230,'HOURLY RATES'!C$6:D$105,2,0)=0,$E$3,VLOOKUP(E230,'HOURLY RATES'!C$6:D$105,2,0))</f>
        <v>102</v>
      </c>
      <c r="N230" s="152">
        <f t="shared" si="78"/>
        <v>5407.162069680001</v>
      </c>
      <c r="O230" s="107">
        <v>28</v>
      </c>
      <c r="P230" s="107">
        <f t="shared" si="79"/>
        <v>4731.0480000000007</v>
      </c>
      <c r="Q230" s="153">
        <f t="shared" si="80"/>
        <v>10138.210069680001</v>
      </c>
      <c r="R230" s="116"/>
      <c r="S230" s="129">
        <f t="shared" si="64"/>
        <v>78.024765349999996</v>
      </c>
      <c r="T230" s="130">
        <f t="shared" si="65"/>
        <v>13183.532502128101</v>
      </c>
    </row>
    <row r="231" spans="1:21" s="7" customFormat="1" x14ac:dyDescent="0.25">
      <c r="A231" s="110">
        <f>IF(J231&lt;&gt;"",1+MAX($A$17:A230),"")</f>
        <v>181</v>
      </c>
      <c r="B231" s="104" t="s">
        <v>744</v>
      </c>
      <c r="C231" s="104" t="s">
        <v>745</v>
      </c>
      <c r="D231" s="102" t="s">
        <v>50</v>
      </c>
      <c r="E231" s="117" t="s">
        <v>168</v>
      </c>
      <c r="F231" s="240" t="s">
        <v>919</v>
      </c>
      <c r="G231" s="103">
        <v>455.61</v>
      </c>
      <c r="H231" s="51">
        <f>IF(VLOOKUP(J231,'HOURLY RATES'!B$116:C$124,2,0)=0,$J$3,VLOOKUP(J231,'HOURLY RATES'!B$116:C$124,2,0))</f>
        <v>0.05</v>
      </c>
      <c r="I231" s="52">
        <f t="shared" si="76"/>
        <v>478.39050000000003</v>
      </c>
      <c r="J231" s="101" t="s">
        <v>250</v>
      </c>
      <c r="K231" s="150">
        <v>0.38097000000000003</v>
      </c>
      <c r="L231" s="151">
        <f t="shared" si="77"/>
        <v>182.25242878500003</v>
      </c>
      <c r="M231" s="57">
        <f>IF(VLOOKUP(E231,'HOURLY RATES'!C$6:D$105,2,0)=0,$E$3,VLOOKUP(E231,'HOURLY RATES'!C$6:D$105,2,0))</f>
        <v>102</v>
      </c>
      <c r="N231" s="152">
        <f t="shared" si="78"/>
        <v>18589.747736070003</v>
      </c>
      <c r="O231" s="107">
        <v>34</v>
      </c>
      <c r="P231" s="107">
        <f t="shared" si="79"/>
        <v>16265.277000000002</v>
      </c>
      <c r="Q231" s="153">
        <f t="shared" si="80"/>
        <v>34855.024736070001</v>
      </c>
      <c r="R231" s="116"/>
      <c r="S231" s="129">
        <f t="shared" si="64"/>
        <v>94.744357925000003</v>
      </c>
      <c r="T231" s="130">
        <f t="shared" si="65"/>
        <v>45324.800759919715</v>
      </c>
    </row>
    <row r="232" spans="1:21" s="7" customFormat="1" x14ac:dyDescent="0.25">
      <c r="A232" s="110" t="str">
        <f>IF(J232&lt;&gt;"",1+MAX($A$17:A231),"")</f>
        <v/>
      </c>
      <c r="B232" s="104"/>
      <c r="C232" s="108"/>
      <c r="D232" s="102"/>
      <c r="E232" s="117"/>
      <c r="F232" s="240" t="s">
        <v>248</v>
      </c>
      <c r="G232" s="103"/>
      <c r="H232" s="105"/>
      <c r="I232" s="106"/>
      <c r="J232" s="101"/>
      <c r="K232" s="150"/>
      <c r="L232" s="151"/>
      <c r="M232" s="152"/>
      <c r="N232" s="152"/>
      <c r="O232" s="107"/>
      <c r="P232" s="107"/>
      <c r="Q232" s="153"/>
      <c r="R232" s="116"/>
      <c r="S232" s="129"/>
      <c r="T232" s="130"/>
    </row>
    <row r="233" spans="1:21" s="7" customFormat="1" x14ac:dyDescent="0.25">
      <c r="A233" s="110" t="str">
        <f>IF(J233&lt;&gt;"",1+MAX($A$17:A232),"")</f>
        <v/>
      </c>
      <c r="B233" s="104"/>
      <c r="C233" s="108"/>
      <c r="D233" s="102"/>
      <c r="E233" s="117"/>
      <c r="F233" s="239" t="s">
        <v>814</v>
      </c>
      <c r="G233" s="103"/>
      <c r="H233" s="105"/>
      <c r="I233" s="106"/>
      <c r="J233" s="101"/>
      <c r="K233" s="150"/>
      <c r="L233" s="151"/>
      <c r="M233" s="152"/>
      <c r="N233" s="152"/>
      <c r="O233" s="107"/>
      <c r="P233" s="107"/>
      <c r="Q233" s="153"/>
      <c r="R233" s="116"/>
      <c r="S233" s="129"/>
      <c r="T233" s="130"/>
    </row>
    <row r="234" spans="1:21" s="7" customFormat="1" x14ac:dyDescent="0.25">
      <c r="A234" s="110">
        <f>IF(J234&lt;&gt;"",1+MAX($A$17:A233),"")</f>
        <v>182</v>
      </c>
      <c r="B234" s="104" t="s">
        <v>744</v>
      </c>
      <c r="C234" s="104" t="s">
        <v>745</v>
      </c>
      <c r="D234" s="102" t="s">
        <v>50</v>
      </c>
      <c r="E234" s="117" t="s">
        <v>168</v>
      </c>
      <c r="F234" s="240" t="s">
        <v>815</v>
      </c>
      <c r="G234" s="103">
        <f>12.8*7899</f>
        <v>101107.20000000001</v>
      </c>
      <c r="H234" s="51">
        <f>IF(VLOOKUP(J234,'HOURLY RATES'!B$116:C$124,2,0)=0,$J$3,VLOOKUP(J234,'HOURLY RATES'!B$116:C$124,2,0))</f>
        <v>0.05</v>
      </c>
      <c r="I234" s="52">
        <f t="shared" ref="I234" si="81">(G234*(1+H234))</f>
        <v>106162.56000000001</v>
      </c>
      <c r="J234" s="101" t="s">
        <v>253</v>
      </c>
      <c r="K234" s="150">
        <v>4.0500000000000001E-2</v>
      </c>
      <c r="L234" s="151">
        <f t="shared" ref="L234" si="82">K234*I234</f>
        <v>4299.5836800000006</v>
      </c>
      <c r="M234" s="57">
        <f>IF(VLOOKUP(E234,'HOURLY RATES'!C$6:D$105,2,0)=0,$E$3,VLOOKUP(E234,'HOURLY RATES'!C$6:D$105,2,0))</f>
        <v>102</v>
      </c>
      <c r="N234" s="152">
        <f t="shared" ref="N234" si="83">M234*L234</f>
        <v>438557.53536000004</v>
      </c>
      <c r="O234" s="107">
        <v>1.778</v>
      </c>
      <c r="P234" s="107">
        <f t="shared" ref="P234" si="84">O234*I234</f>
        <v>188757.03168000001</v>
      </c>
      <c r="Q234" s="153">
        <f t="shared" ref="Q234" si="85">P234+N234</f>
        <v>627314.56704000011</v>
      </c>
      <c r="R234" s="116"/>
      <c r="S234" s="129">
        <f t="shared" si="64"/>
        <v>7.6175596125999991</v>
      </c>
      <c r="T234" s="130">
        <f t="shared" si="65"/>
        <v>808699.62942622427</v>
      </c>
    </row>
    <row r="235" spans="1:21" s="7" customFormat="1" x14ac:dyDescent="0.25">
      <c r="A235" s="212" t="str">
        <f>IF(J235&lt;&gt;"",1+MAX($A$17:A234),"")</f>
        <v/>
      </c>
      <c r="B235" s="213"/>
      <c r="C235" s="214"/>
      <c r="D235" s="115"/>
      <c r="E235" s="215"/>
      <c r="F235" s="236" t="s">
        <v>248</v>
      </c>
      <c r="G235" s="216"/>
      <c r="H235" s="217"/>
      <c r="I235" s="218"/>
      <c r="J235" s="219"/>
      <c r="K235" s="220"/>
      <c r="L235" s="221"/>
      <c r="M235" s="196"/>
      <c r="N235" s="196"/>
      <c r="O235" s="197"/>
      <c r="P235" s="197"/>
      <c r="Q235" s="198"/>
      <c r="R235" s="164"/>
      <c r="S235" s="129"/>
      <c r="T235" s="130"/>
    </row>
    <row r="236" spans="1:21" s="7" customFormat="1" x14ac:dyDescent="0.25">
      <c r="A236" s="190" t="str">
        <f>IF(J236&lt;&gt;"",1+MAX($A$18:A65),"")</f>
        <v/>
      </c>
      <c r="B236" s="191"/>
      <c r="C236" s="191"/>
      <c r="D236" s="192"/>
      <c r="E236" s="205"/>
      <c r="F236" s="241" t="s">
        <v>248</v>
      </c>
      <c r="G236" s="193"/>
      <c r="H236" s="193"/>
      <c r="I236" s="193"/>
      <c r="J236" s="194"/>
      <c r="K236" s="193"/>
      <c r="L236" s="195"/>
      <c r="M236" s="196"/>
      <c r="N236" s="196"/>
      <c r="O236" s="197"/>
      <c r="P236" s="197"/>
      <c r="Q236" s="198"/>
      <c r="R236" s="116"/>
      <c r="S236" s="129"/>
      <c r="T236" s="130"/>
    </row>
    <row r="237" spans="1:21" s="7" customFormat="1" x14ac:dyDescent="0.25">
      <c r="A237" s="332" t="s">
        <v>77</v>
      </c>
      <c r="B237" s="332"/>
      <c r="C237" s="335"/>
      <c r="D237" s="336"/>
      <c r="E237" s="336"/>
      <c r="F237" s="336"/>
      <c r="G237" s="336"/>
      <c r="H237" s="336"/>
      <c r="I237" s="336"/>
      <c r="J237" s="337"/>
      <c r="K237" s="200" t="s">
        <v>255</v>
      </c>
      <c r="L237" s="201">
        <f>SUM(L18:L236)</f>
        <v>109025.8160775166</v>
      </c>
      <c r="M237" s="199" t="s">
        <v>256</v>
      </c>
      <c r="N237" s="202">
        <f>SUM(N18:N236)</f>
        <v>10426247.660686893</v>
      </c>
      <c r="O237" s="199" t="s">
        <v>257</v>
      </c>
      <c r="P237" s="202">
        <f>SUM(P18:P236)</f>
        <v>4330399.0744350003</v>
      </c>
      <c r="Q237" s="203">
        <f>SUM(Q18:Q236)</f>
        <v>14756646.735121889</v>
      </c>
      <c r="R237" s="203">
        <f>SUM(R18:R236)</f>
        <v>14756646.735121891</v>
      </c>
      <c r="S237" s="131"/>
      <c r="T237" s="132">
        <f>SUM(T18:T236)</f>
        <v>19016017.356129535</v>
      </c>
      <c r="U237" s="1"/>
    </row>
    <row r="238" spans="1:21" s="7" customFormat="1" ht="16.2" thickBot="1" x14ac:dyDescent="0.3">
      <c r="A238" s="333" t="s">
        <v>78</v>
      </c>
      <c r="B238" s="334"/>
      <c r="C238" s="40"/>
      <c r="D238" s="40"/>
      <c r="E238" s="111"/>
      <c r="F238" s="242"/>
      <c r="G238" s="41"/>
      <c r="H238" s="41"/>
      <c r="I238" s="41"/>
      <c r="J238" s="40"/>
      <c r="K238" s="40"/>
      <c r="L238" s="40"/>
      <c r="M238" s="68">
        <f>D5</f>
        <v>6.6780000000000006E-2</v>
      </c>
      <c r="N238" s="69"/>
      <c r="O238" s="69"/>
      <c r="P238" s="69">
        <f>P237*M238</f>
        <v>289184.05019076937</v>
      </c>
      <c r="Q238" s="69">
        <f>P238+N238</f>
        <v>289184.05019076937</v>
      </c>
      <c r="R238" s="154">
        <f>Q238</f>
        <v>289184.05019076937</v>
      </c>
      <c r="S238" s="131"/>
      <c r="T238" s="131"/>
      <c r="U238" s="1"/>
    </row>
    <row r="239" spans="1:21" s="7" customFormat="1" ht="16.8" thickTop="1" thickBot="1" x14ac:dyDescent="0.3">
      <c r="A239" s="155" t="s">
        <v>258</v>
      </c>
      <c r="B239" s="46"/>
      <c r="C239" s="42"/>
      <c r="D239" s="42"/>
      <c r="E239" s="112"/>
      <c r="F239" s="243"/>
      <c r="G239" s="43"/>
      <c r="H239" s="43"/>
      <c r="I239" s="43"/>
      <c r="J239" s="42"/>
      <c r="K239" s="42"/>
      <c r="L239" s="42"/>
      <c r="M239" s="47">
        <f>D6</f>
        <v>0.25</v>
      </c>
      <c r="N239" s="45"/>
      <c r="O239" s="45"/>
      <c r="P239" s="45">
        <f>P237*M239</f>
        <v>1082599.7686087501</v>
      </c>
      <c r="Q239" s="45">
        <f>P239+N239</f>
        <v>1082599.7686087501</v>
      </c>
      <c r="R239" s="156">
        <f>Q239</f>
        <v>1082599.7686087501</v>
      </c>
      <c r="S239" s="131"/>
      <c r="T239" s="131"/>
      <c r="U239" s="1"/>
    </row>
    <row r="240" spans="1:21" s="7" customFormat="1" ht="16.8" thickTop="1" thickBot="1" x14ac:dyDescent="0.3">
      <c r="A240" s="155" t="s">
        <v>259</v>
      </c>
      <c r="B240" s="46"/>
      <c r="C240" s="42"/>
      <c r="D240" s="42"/>
      <c r="E240" s="112"/>
      <c r="F240" s="243"/>
      <c r="G240" s="43"/>
      <c r="H240" s="43"/>
      <c r="I240" s="43"/>
      <c r="J240" s="42"/>
      <c r="K240" s="42"/>
      <c r="L240" s="42"/>
      <c r="M240" s="47">
        <f>D7</f>
        <v>0.25</v>
      </c>
      <c r="N240" s="45">
        <f>N237*M240</f>
        <v>2606561.9151717233</v>
      </c>
      <c r="O240" s="45"/>
      <c r="P240" s="45"/>
      <c r="Q240" s="45">
        <f>P240+N240</f>
        <v>2606561.9151717233</v>
      </c>
      <c r="R240" s="156">
        <f>Q240</f>
        <v>2606561.9151717233</v>
      </c>
      <c r="S240" s="131"/>
      <c r="T240" s="131"/>
      <c r="U240" s="1"/>
    </row>
    <row r="241" spans="1:21" s="7" customFormat="1" ht="16.8" thickTop="1" thickBot="1" x14ac:dyDescent="0.3">
      <c r="A241" s="323" t="s">
        <v>260</v>
      </c>
      <c r="B241" s="324"/>
      <c r="C241" s="42"/>
      <c r="D241" s="42"/>
      <c r="E241" s="112"/>
      <c r="F241" s="243"/>
      <c r="G241" s="43"/>
      <c r="H241" s="43"/>
      <c r="I241" s="43"/>
      <c r="J241" s="42"/>
      <c r="K241" s="42"/>
      <c r="L241" s="42"/>
      <c r="M241" s="44">
        <f>D8</f>
        <v>1.4999999999999999E-2</v>
      </c>
      <c r="N241" s="45">
        <f>(N237+N238+N239+N240)*M241</f>
        <v>195492.14363787926</v>
      </c>
      <c r="O241" s="45"/>
      <c r="P241" s="45">
        <f>(P237+P238+P239+P240)*M241</f>
        <v>85532.743398517792</v>
      </c>
      <c r="Q241" s="45">
        <f>P241+N241</f>
        <v>281024.88703639706</v>
      </c>
      <c r="R241" s="156">
        <f>Q241</f>
        <v>281024.88703639706</v>
      </c>
      <c r="S241" s="131"/>
      <c r="T241" s="131"/>
      <c r="U241" s="1"/>
    </row>
    <row r="242" spans="1:21" s="7" customFormat="1" ht="16.2" thickTop="1" x14ac:dyDescent="0.25">
      <c r="A242" s="325" t="s">
        <v>81</v>
      </c>
      <c r="B242" s="326"/>
      <c r="C242" s="157"/>
      <c r="D242" s="157"/>
      <c r="E242" s="158"/>
      <c r="F242" s="244"/>
      <c r="G242" s="159"/>
      <c r="H242" s="159"/>
      <c r="I242" s="159"/>
      <c r="J242" s="157"/>
      <c r="K242" s="157"/>
      <c r="L242" s="157"/>
      <c r="M242" s="160"/>
      <c r="N242" s="161">
        <f>SUM(N237:N241)</f>
        <v>13228301.719496496</v>
      </c>
      <c r="O242" s="160"/>
      <c r="P242" s="161">
        <f>SUM(P237:P241)</f>
        <v>5787715.6366330367</v>
      </c>
      <c r="Q242" s="161">
        <f>SUM(Q237:Q241)</f>
        <v>19016017.356129531</v>
      </c>
      <c r="R242" s="162">
        <f>SUM(R237:R241)</f>
        <v>19016017.356129531</v>
      </c>
      <c r="S242" s="131"/>
      <c r="T242" s="132">
        <f>T237</f>
        <v>19016017.356129535</v>
      </c>
      <c r="U242" s="1"/>
    </row>
    <row r="243" spans="1:21" x14ac:dyDescent="0.25">
      <c r="E243" s="113"/>
    </row>
    <row r="244" spans="1:21" x14ac:dyDescent="0.25">
      <c r="E244" s="113"/>
    </row>
    <row r="245" spans="1:21" x14ac:dyDescent="0.25">
      <c r="E245" s="113"/>
    </row>
    <row r="246" spans="1:21" x14ac:dyDescent="0.25">
      <c r="E246" s="113"/>
    </row>
    <row r="247" spans="1:21" x14ac:dyDescent="0.25">
      <c r="E247" s="113"/>
    </row>
    <row r="248" spans="1:21" x14ac:dyDescent="0.25">
      <c r="E248" s="113"/>
    </row>
    <row r="249" spans="1:21" x14ac:dyDescent="0.25">
      <c r="E249" s="113"/>
    </row>
    <row r="250" spans="1:21" x14ac:dyDescent="0.25">
      <c r="E250" s="113"/>
    </row>
    <row r="251" spans="1:21" x14ac:dyDescent="0.25">
      <c r="E251" s="113"/>
    </row>
    <row r="252" spans="1:21" x14ac:dyDescent="0.25">
      <c r="E252" s="113"/>
    </row>
    <row r="253" spans="1:21" x14ac:dyDescent="0.25">
      <c r="E253" s="113"/>
    </row>
    <row r="254" spans="1:21" x14ac:dyDescent="0.25">
      <c r="E254" s="113"/>
    </row>
    <row r="255" spans="1:21" x14ac:dyDescent="0.25">
      <c r="E255" s="113"/>
    </row>
    <row r="256" spans="1:21" x14ac:dyDescent="0.25">
      <c r="E256" s="113"/>
    </row>
    <row r="257" spans="5:5" x14ac:dyDescent="0.25">
      <c r="E257" s="113"/>
    </row>
    <row r="258" spans="5:5" x14ac:dyDescent="0.25">
      <c r="E258" s="113"/>
    </row>
    <row r="259" spans="5:5" x14ac:dyDescent="0.25">
      <c r="E259" s="113"/>
    </row>
    <row r="260" spans="5:5" x14ac:dyDescent="0.25">
      <c r="E260" s="113"/>
    </row>
    <row r="261" spans="5:5" x14ac:dyDescent="0.25">
      <c r="E261" s="113"/>
    </row>
    <row r="262" spans="5:5" x14ac:dyDescent="0.25">
      <c r="E262" s="113"/>
    </row>
    <row r="263" spans="5:5" x14ac:dyDescent="0.25">
      <c r="E263" s="113"/>
    </row>
    <row r="264" spans="5:5" x14ac:dyDescent="0.25">
      <c r="E264" s="113"/>
    </row>
    <row r="265" spans="5:5" x14ac:dyDescent="0.25">
      <c r="E265" s="113"/>
    </row>
    <row r="266" spans="5:5" x14ac:dyDescent="0.25">
      <c r="E266" s="113"/>
    </row>
    <row r="267" spans="5:5" x14ac:dyDescent="0.25">
      <c r="E267" s="113"/>
    </row>
    <row r="268" spans="5:5" x14ac:dyDescent="0.25">
      <c r="E268" s="113"/>
    </row>
    <row r="269" spans="5:5" x14ac:dyDescent="0.25">
      <c r="E269" s="113"/>
    </row>
    <row r="270" spans="5:5" x14ac:dyDescent="0.25">
      <c r="E270" s="113"/>
    </row>
    <row r="271" spans="5:5" x14ac:dyDescent="0.25">
      <c r="E271" s="113"/>
    </row>
    <row r="272" spans="5:5" x14ac:dyDescent="0.25">
      <c r="E272" s="113"/>
    </row>
    <row r="273" spans="5:5" x14ac:dyDescent="0.25">
      <c r="E273" s="113"/>
    </row>
    <row r="274" spans="5:5" x14ac:dyDescent="0.25">
      <c r="E274" s="113"/>
    </row>
    <row r="275" spans="5:5" x14ac:dyDescent="0.25">
      <c r="E275" s="113"/>
    </row>
    <row r="276" spans="5:5" x14ac:dyDescent="0.25">
      <c r="E276" s="113"/>
    </row>
    <row r="277" spans="5:5" x14ac:dyDescent="0.25">
      <c r="E277" s="113"/>
    </row>
    <row r="278" spans="5:5" x14ac:dyDescent="0.25">
      <c r="E278" s="113"/>
    </row>
    <row r="279" spans="5:5" x14ac:dyDescent="0.25">
      <c r="E279" s="113"/>
    </row>
    <row r="280" spans="5:5" x14ac:dyDescent="0.25">
      <c r="E280" s="113"/>
    </row>
    <row r="281" spans="5:5" x14ac:dyDescent="0.25">
      <c r="E281" s="113"/>
    </row>
    <row r="282" spans="5:5" x14ac:dyDescent="0.25">
      <c r="E282" s="113"/>
    </row>
    <row r="283" spans="5:5" x14ac:dyDescent="0.25">
      <c r="E283" s="113"/>
    </row>
    <row r="284" spans="5:5" x14ac:dyDescent="0.25">
      <c r="E284" s="113"/>
    </row>
    <row r="285" spans="5:5" x14ac:dyDescent="0.25">
      <c r="E285" s="113"/>
    </row>
    <row r="286" spans="5:5" x14ac:dyDescent="0.25">
      <c r="E286" s="113"/>
    </row>
    <row r="287" spans="5:5" x14ac:dyDescent="0.25">
      <c r="E287" s="113"/>
    </row>
    <row r="288" spans="5:5" x14ac:dyDescent="0.25">
      <c r="E288" s="113"/>
    </row>
    <row r="289" spans="5:5" x14ac:dyDescent="0.25">
      <c r="E289" s="113"/>
    </row>
    <row r="290" spans="5:5" x14ac:dyDescent="0.25">
      <c r="E290" s="113"/>
    </row>
    <row r="291" spans="5:5" x14ac:dyDescent="0.25">
      <c r="E291" s="113"/>
    </row>
    <row r="292" spans="5:5" x14ac:dyDescent="0.25">
      <c r="E292" s="113"/>
    </row>
    <row r="293" spans="5:5" x14ac:dyDescent="0.25">
      <c r="E293" s="113"/>
    </row>
    <row r="294" spans="5:5" x14ac:dyDescent="0.25">
      <c r="E294" s="113"/>
    </row>
    <row r="295" spans="5:5" x14ac:dyDescent="0.25">
      <c r="E295" s="113"/>
    </row>
    <row r="296" spans="5:5" x14ac:dyDescent="0.25">
      <c r="E296" s="113"/>
    </row>
    <row r="297" spans="5:5" x14ac:dyDescent="0.25">
      <c r="E297" s="113"/>
    </row>
    <row r="298" spans="5:5" x14ac:dyDescent="0.25">
      <c r="E298" s="113"/>
    </row>
    <row r="299" spans="5:5" x14ac:dyDescent="0.25">
      <c r="E299" s="113"/>
    </row>
    <row r="300" spans="5:5" x14ac:dyDescent="0.25">
      <c r="E300" s="113"/>
    </row>
    <row r="301" spans="5:5" x14ac:dyDescent="0.25">
      <c r="E301" s="113"/>
    </row>
    <row r="302" spans="5:5" x14ac:dyDescent="0.25">
      <c r="E302" s="113"/>
    </row>
    <row r="303" spans="5:5" x14ac:dyDescent="0.25">
      <c r="E303" s="113"/>
    </row>
    <row r="304" spans="5:5" x14ac:dyDescent="0.25">
      <c r="E304" s="113"/>
    </row>
    <row r="305" spans="5:5" x14ac:dyDescent="0.25">
      <c r="E305" s="113"/>
    </row>
    <row r="306" spans="5:5" x14ac:dyDescent="0.25">
      <c r="E306" s="113"/>
    </row>
    <row r="307" spans="5:5" x14ac:dyDescent="0.25">
      <c r="E307" s="113"/>
    </row>
    <row r="308" spans="5:5" x14ac:dyDescent="0.25">
      <c r="E308" s="113"/>
    </row>
    <row r="309" spans="5:5" x14ac:dyDescent="0.25">
      <c r="E309" s="113"/>
    </row>
    <row r="310" spans="5:5" x14ac:dyDescent="0.25">
      <c r="E310" s="113"/>
    </row>
    <row r="311" spans="5:5" x14ac:dyDescent="0.25">
      <c r="E311" s="113"/>
    </row>
    <row r="312" spans="5:5" x14ac:dyDescent="0.25">
      <c r="E312" s="113"/>
    </row>
    <row r="313" spans="5:5" x14ac:dyDescent="0.25">
      <c r="E313" s="113"/>
    </row>
    <row r="314" spans="5:5" x14ac:dyDescent="0.25">
      <c r="E314" s="113"/>
    </row>
    <row r="315" spans="5:5" x14ac:dyDescent="0.25">
      <c r="E315" s="113"/>
    </row>
    <row r="316" spans="5:5" x14ac:dyDescent="0.25">
      <c r="E316" s="113"/>
    </row>
    <row r="317" spans="5:5" x14ac:dyDescent="0.25">
      <c r="E317" s="113"/>
    </row>
    <row r="318" spans="5:5" x14ac:dyDescent="0.25">
      <c r="E318" s="113"/>
    </row>
    <row r="319" spans="5:5" x14ac:dyDescent="0.25">
      <c r="E319" s="113"/>
    </row>
    <row r="320" spans="5:5" x14ac:dyDescent="0.25">
      <c r="E320" s="113"/>
    </row>
    <row r="321" spans="5:5" x14ac:dyDescent="0.25">
      <c r="E321" s="113"/>
    </row>
    <row r="322" spans="5:5" x14ac:dyDescent="0.25">
      <c r="E322" s="113"/>
    </row>
    <row r="323" spans="5:5" x14ac:dyDescent="0.25">
      <c r="E323" s="113"/>
    </row>
    <row r="324" spans="5:5" x14ac:dyDescent="0.25">
      <c r="E324" s="113"/>
    </row>
    <row r="325" spans="5:5" x14ac:dyDescent="0.25">
      <c r="E325" s="113"/>
    </row>
    <row r="326" spans="5:5" x14ac:dyDescent="0.25">
      <c r="E326" s="113"/>
    </row>
    <row r="327" spans="5:5" x14ac:dyDescent="0.25">
      <c r="E327" s="113"/>
    </row>
    <row r="328" spans="5:5" x14ac:dyDescent="0.25">
      <c r="E328" s="113"/>
    </row>
    <row r="329" spans="5:5" x14ac:dyDescent="0.25">
      <c r="E329" s="113"/>
    </row>
    <row r="330" spans="5:5" x14ac:dyDescent="0.25">
      <c r="E330" s="113"/>
    </row>
    <row r="331" spans="5:5" x14ac:dyDescent="0.25">
      <c r="E331" s="113"/>
    </row>
    <row r="332" spans="5:5" x14ac:dyDescent="0.25">
      <c r="E332" s="113"/>
    </row>
    <row r="333" spans="5:5" x14ac:dyDescent="0.25">
      <c r="E333" s="113"/>
    </row>
    <row r="334" spans="5:5" x14ac:dyDescent="0.25">
      <c r="E334" s="113"/>
    </row>
    <row r="335" spans="5:5" x14ac:dyDescent="0.25">
      <c r="E335" s="113"/>
    </row>
    <row r="336" spans="5:5" x14ac:dyDescent="0.25">
      <c r="E336" s="113"/>
    </row>
    <row r="337" spans="5:5" x14ac:dyDescent="0.25">
      <c r="E337" s="113"/>
    </row>
    <row r="338" spans="5:5" x14ac:dyDescent="0.25">
      <c r="E338" s="113"/>
    </row>
    <row r="339" spans="5:5" x14ac:dyDescent="0.25">
      <c r="E339" s="113"/>
    </row>
    <row r="340" spans="5:5" x14ac:dyDescent="0.25">
      <c r="E340" s="113"/>
    </row>
    <row r="341" spans="5:5" x14ac:dyDescent="0.25">
      <c r="E341" s="113"/>
    </row>
    <row r="342" spans="5:5" x14ac:dyDescent="0.25">
      <c r="E342" s="113"/>
    </row>
    <row r="343" spans="5:5" x14ac:dyDescent="0.25">
      <c r="E343" s="113"/>
    </row>
  </sheetData>
  <mergeCells count="8">
    <mergeCell ref="A241:B241"/>
    <mergeCell ref="A242:B242"/>
    <mergeCell ref="A2:R2"/>
    <mergeCell ref="E16:F16"/>
    <mergeCell ref="B3:E3"/>
    <mergeCell ref="A237:B237"/>
    <mergeCell ref="A238:B238"/>
    <mergeCell ref="C237:J237"/>
  </mergeCells>
  <phoneticPr fontId="52" type="noConversion"/>
  <dataValidations disablePrompts="1" count="1">
    <dataValidation type="list" allowBlank="1" showInputMessage="1" showErrorMessage="1" sqref="E63" xr:uid="{00000000-0002-0000-0300-000000000000}">
      <formula1>#REF!</formula1>
    </dataValidation>
  </dataValidations>
  <hyperlinks>
    <hyperlink ref="B3:E3" location="'COST SUMMARY'!A1" display="CLICK HERE TO GO BACK TO COST SUMMARY" xr:uid="{00000000-0004-0000-0300-000000000000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300-000001000000}">
          <x14:formula1>
            <xm:f>'HOURLY RATES'!$C$6:$C$105</xm:f>
          </x14:formula1>
          <xm:sqref>E21:E32 E60:E62 E54:E57 E47:E51 E34:E36 E39:E44 E65 E236</xm:sqref>
        </x14:dataValidation>
        <x14:dataValidation type="list" allowBlank="1" showInputMessage="1" showErrorMessage="1" xr:uid="{00000000-0002-0000-0300-000002000000}">
          <x14:formula1>
            <xm:f>'HOURLY RATES'!$B$116:$B$126</xm:f>
          </x14:formula1>
          <xm:sqref>J236 J19:J65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FF00"/>
    <pageSetUpPr fitToPage="1"/>
  </sheetPr>
  <dimension ref="A1:S77"/>
  <sheetViews>
    <sheetView showGridLines="0" zoomScale="85" zoomScaleNormal="85" workbookViewId="0">
      <selection sqref="A1:S4"/>
    </sheetView>
  </sheetViews>
  <sheetFormatPr defaultColWidth="8.81640625" defaultRowHeight="15.6" x14ac:dyDescent="0.3"/>
  <cols>
    <col min="1" max="4" width="8.81640625" style="72"/>
    <col min="5" max="5" width="8.81640625" style="72" customWidth="1"/>
    <col min="6" max="15" width="8.81640625" style="72"/>
    <col min="16" max="17" width="9.1796875" style="72" customWidth="1"/>
    <col min="18" max="16384" width="8.81640625" style="72"/>
  </cols>
  <sheetData>
    <row r="1" spans="1:19" ht="15.6" customHeight="1" x14ac:dyDescent="0.3">
      <c r="A1" s="343" t="s">
        <v>0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4"/>
      <c r="P1" s="344"/>
      <c r="Q1" s="344"/>
      <c r="R1" s="344"/>
      <c r="S1" s="345"/>
    </row>
    <row r="2" spans="1:19" s="73" customFormat="1" ht="20.399999999999999" customHeight="1" x14ac:dyDescent="0.4">
      <c r="A2" s="346"/>
      <c r="B2" s="347"/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347"/>
      <c r="N2" s="347"/>
      <c r="O2" s="347"/>
      <c r="P2" s="347"/>
      <c r="Q2" s="347"/>
      <c r="R2" s="347"/>
      <c r="S2" s="348"/>
    </row>
    <row r="3" spans="1:19" ht="15.6" customHeight="1" x14ac:dyDescent="0.3">
      <c r="A3" s="346"/>
      <c r="B3" s="347"/>
      <c r="C3" s="347"/>
      <c r="D3" s="347"/>
      <c r="E3" s="347"/>
      <c r="F3" s="347"/>
      <c r="G3" s="347"/>
      <c r="H3" s="347"/>
      <c r="I3" s="347"/>
      <c r="J3" s="347"/>
      <c r="K3" s="347"/>
      <c r="L3" s="347"/>
      <c r="M3" s="347"/>
      <c r="N3" s="347"/>
      <c r="O3" s="347"/>
      <c r="P3" s="347"/>
      <c r="Q3" s="347"/>
      <c r="R3" s="347"/>
      <c r="S3" s="348"/>
    </row>
    <row r="4" spans="1:19" ht="15.6" customHeight="1" x14ac:dyDescent="0.3">
      <c r="A4" s="349"/>
      <c r="B4" s="350"/>
      <c r="C4" s="350"/>
      <c r="D4" s="350"/>
      <c r="E4" s="350"/>
      <c r="F4" s="350"/>
      <c r="G4" s="350"/>
      <c r="H4" s="350"/>
      <c r="I4" s="350"/>
      <c r="J4" s="350"/>
      <c r="K4" s="350"/>
      <c r="L4" s="350"/>
      <c r="M4" s="350"/>
      <c r="N4" s="350"/>
      <c r="O4" s="350"/>
      <c r="P4" s="350"/>
      <c r="Q4" s="350"/>
      <c r="R4" s="350"/>
      <c r="S4" s="351"/>
    </row>
    <row r="5" spans="1:19" x14ac:dyDescent="0.3">
      <c r="A5" s="250"/>
      <c r="S5" s="249"/>
    </row>
    <row r="6" spans="1:19" s="74" customFormat="1" ht="21.6" thickBot="1" x14ac:dyDescent="0.45">
      <c r="A6" s="311"/>
      <c r="B6" s="352"/>
      <c r="C6" s="352"/>
      <c r="D6" s="312"/>
      <c r="E6" s="353"/>
      <c r="F6" s="353"/>
      <c r="G6" s="312"/>
      <c r="H6" s="354"/>
      <c r="I6" s="354"/>
      <c r="J6" s="312"/>
      <c r="K6" s="355"/>
      <c r="L6" s="355"/>
      <c r="M6" s="312"/>
      <c r="N6" s="356"/>
      <c r="O6" s="356"/>
      <c r="P6" s="312"/>
      <c r="Q6" s="357"/>
      <c r="R6" s="357"/>
      <c r="S6" s="313"/>
    </row>
    <row r="7" spans="1:19" x14ac:dyDescent="0.3">
      <c r="A7" s="250"/>
      <c r="S7" s="249"/>
    </row>
    <row r="8" spans="1:19" x14ac:dyDescent="0.3">
      <c r="A8" s="250"/>
      <c r="S8" s="249"/>
    </row>
    <row r="9" spans="1:19" x14ac:dyDescent="0.3">
      <c r="A9" s="250"/>
      <c r="S9" s="249"/>
    </row>
    <row r="10" spans="1:19" x14ac:dyDescent="0.3">
      <c r="A10" s="250"/>
      <c r="S10" s="249"/>
    </row>
    <row r="11" spans="1:19" x14ac:dyDescent="0.3">
      <c r="A11" s="250"/>
      <c r="S11" s="249"/>
    </row>
    <row r="12" spans="1:19" ht="21" x14ac:dyDescent="0.4">
      <c r="A12" s="250"/>
      <c r="B12" s="312"/>
      <c r="K12" s="312"/>
      <c r="S12" s="249"/>
    </row>
    <row r="13" spans="1:19" x14ac:dyDescent="0.3">
      <c r="A13" s="250"/>
      <c r="S13" s="249"/>
    </row>
    <row r="14" spans="1:19" ht="18" x14ac:dyDescent="0.35">
      <c r="A14" s="250"/>
      <c r="B14" s="314"/>
      <c r="C14" s="314"/>
      <c r="D14" s="314"/>
      <c r="E14" s="314"/>
      <c r="F14" s="314"/>
      <c r="G14" s="314"/>
      <c r="H14" s="314"/>
      <c r="I14" s="314"/>
      <c r="K14" s="340"/>
      <c r="L14" s="340"/>
      <c r="M14" s="340"/>
      <c r="N14" s="340"/>
      <c r="O14" s="340"/>
      <c r="P14" s="340"/>
      <c r="Q14" s="340"/>
      <c r="R14" s="340"/>
      <c r="S14" s="249"/>
    </row>
    <row r="15" spans="1:19" x14ac:dyDescent="0.3">
      <c r="A15" s="250"/>
      <c r="B15" s="315"/>
      <c r="C15" s="315"/>
      <c r="D15" s="315"/>
      <c r="E15" s="315"/>
      <c r="F15" s="75"/>
      <c r="G15" s="75"/>
      <c r="H15" s="76"/>
      <c r="I15" s="76"/>
      <c r="K15" s="315"/>
      <c r="L15" s="315"/>
      <c r="M15" s="315"/>
      <c r="N15" s="315"/>
      <c r="O15" s="315"/>
      <c r="P15" s="315"/>
      <c r="Q15" s="358"/>
      <c r="R15" s="358"/>
      <c r="S15" s="249"/>
    </row>
    <row r="16" spans="1:19" x14ac:dyDescent="0.3">
      <c r="A16" s="250"/>
      <c r="B16" s="315"/>
      <c r="C16" s="315"/>
      <c r="D16" s="315"/>
      <c r="E16" s="315"/>
      <c r="F16" s="75"/>
      <c r="G16" s="75"/>
      <c r="I16" s="76"/>
      <c r="K16" s="315"/>
      <c r="L16" s="315"/>
      <c r="M16" s="315"/>
      <c r="N16" s="315"/>
      <c r="O16" s="315"/>
      <c r="P16" s="315"/>
      <c r="Q16" s="358"/>
      <c r="R16" s="358"/>
      <c r="S16" s="249"/>
    </row>
    <row r="17" spans="1:19" x14ac:dyDescent="0.3">
      <c r="A17" s="250"/>
      <c r="B17" s="315"/>
      <c r="C17" s="315"/>
      <c r="D17" s="315"/>
      <c r="E17" s="315"/>
      <c r="F17" s="75"/>
      <c r="G17" s="75"/>
      <c r="I17" s="316"/>
      <c r="K17" s="315"/>
      <c r="L17" s="315"/>
      <c r="M17" s="315"/>
      <c r="N17" s="315"/>
      <c r="O17" s="315"/>
      <c r="P17" s="315"/>
      <c r="S17" s="249"/>
    </row>
    <row r="18" spans="1:19" x14ac:dyDescent="0.3">
      <c r="A18" s="250"/>
      <c r="B18" s="315"/>
      <c r="C18" s="315"/>
      <c r="D18" s="315"/>
      <c r="E18" s="315"/>
      <c r="F18" s="75"/>
      <c r="G18" s="75"/>
      <c r="H18" s="316"/>
      <c r="I18" s="316"/>
      <c r="K18" s="315"/>
      <c r="L18" s="315"/>
      <c r="M18" s="315"/>
      <c r="N18" s="315"/>
      <c r="O18" s="315"/>
      <c r="P18" s="315"/>
      <c r="Q18" s="315"/>
      <c r="R18" s="315"/>
      <c r="S18" s="249"/>
    </row>
    <row r="19" spans="1:19" ht="15.6" customHeight="1" x14ac:dyDescent="0.3">
      <c r="A19" s="250"/>
      <c r="B19" s="315"/>
      <c r="C19" s="315"/>
      <c r="D19" s="315"/>
      <c r="E19" s="315"/>
      <c r="F19" s="75"/>
      <c r="G19" s="75"/>
      <c r="H19" s="316"/>
      <c r="I19" s="316"/>
      <c r="K19" s="317"/>
      <c r="L19" s="317"/>
      <c r="M19" s="317"/>
      <c r="N19" s="317"/>
      <c r="O19" s="317"/>
      <c r="P19" s="317"/>
      <c r="Q19" s="317"/>
      <c r="R19" s="317"/>
      <c r="S19" s="249"/>
    </row>
    <row r="20" spans="1:19" ht="15.6" customHeight="1" x14ac:dyDescent="0.3">
      <c r="A20" s="250"/>
      <c r="B20" s="315"/>
      <c r="C20" s="315"/>
      <c r="D20" s="315"/>
      <c r="E20" s="315"/>
      <c r="F20" s="75"/>
      <c r="G20" s="75"/>
      <c r="H20" s="316"/>
      <c r="I20" s="316"/>
      <c r="K20" s="317"/>
      <c r="L20" s="317"/>
      <c r="M20" s="317"/>
      <c r="N20" s="317"/>
      <c r="O20" s="317"/>
      <c r="P20" s="317"/>
      <c r="Q20" s="317"/>
      <c r="R20" s="317"/>
      <c r="S20" s="249"/>
    </row>
    <row r="21" spans="1:19" x14ac:dyDescent="0.3">
      <c r="A21" s="250"/>
      <c r="S21" s="249"/>
    </row>
    <row r="22" spans="1:19" ht="21" x14ac:dyDescent="0.4">
      <c r="A22" s="250"/>
      <c r="K22" s="312"/>
      <c r="S22" s="249"/>
    </row>
    <row r="23" spans="1:19" x14ac:dyDescent="0.3">
      <c r="A23" s="250"/>
      <c r="S23" s="249"/>
    </row>
    <row r="24" spans="1:19" x14ac:dyDescent="0.3">
      <c r="A24" s="250"/>
      <c r="S24" s="249"/>
    </row>
    <row r="25" spans="1:19" x14ac:dyDescent="0.3">
      <c r="A25" s="250"/>
      <c r="S25" s="249"/>
    </row>
    <row r="26" spans="1:19" s="77" customFormat="1" ht="18" x14ac:dyDescent="0.35">
      <c r="A26" s="318"/>
      <c r="K26" s="314"/>
      <c r="L26" s="314"/>
      <c r="M26" s="314"/>
      <c r="N26" s="314"/>
      <c r="O26" s="314"/>
      <c r="P26" s="314"/>
      <c r="Q26" s="314"/>
      <c r="R26" s="314"/>
      <c r="S26" s="249"/>
    </row>
    <row r="27" spans="1:19" x14ac:dyDescent="0.3">
      <c r="A27" s="250"/>
      <c r="K27" s="315"/>
      <c r="L27" s="315"/>
      <c r="M27" s="315"/>
      <c r="N27" s="315"/>
      <c r="O27" s="315"/>
      <c r="P27" s="315"/>
      <c r="Q27" s="315"/>
      <c r="R27" s="78"/>
      <c r="S27" s="249"/>
    </row>
    <row r="28" spans="1:19" x14ac:dyDescent="0.3">
      <c r="A28" s="250"/>
      <c r="K28" s="315"/>
      <c r="L28" s="315"/>
      <c r="M28" s="315"/>
      <c r="N28" s="315"/>
      <c r="O28" s="315"/>
      <c r="P28" s="315"/>
      <c r="Q28" s="315"/>
      <c r="R28" s="78"/>
      <c r="S28" s="249"/>
    </row>
    <row r="29" spans="1:19" x14ac:dyDescent="0.3">
      <c r="A29" s="250"/>
      <c r="K29" s="315"/>
      <c r="L29" s="315"/>
      <c r="M29" s="315"/>
      <c r="N29" s="315"/>
      <c r="O29" s="315"/>
      <c r="P29" s="315"/>
      <c r="Q29" s="315"/>
      <c r="R29" s="78"/>
      <c r="S29" s="249"/>
    </row>
    <row r="30" spans="1:19" x14ac:dyDescent="0.3">
      <c r="A30" s="250"/>
      <c r="K30" s="315"/>
      <c r="L30" s="315"/>
      <c r="M30" s="315"/>
      <c r="N30" s="315"/>
      <c r="O30" s="315"/>
      <c r="P30" s="315"/>
      <c r="Q30" s="315"/>
      <c r="R30" s="78"/>
      <c r="S30" s="249"/>
    </row>
    <row r="31" spans="1:19" x14ac:dyDescent="0.3">
      <c r="A31" s="250"/>
      <c r="K31" s="315"/>
      <c r="L31" s="315"/>
      <c r="M31" s="315"/>
      <c r="N31" s="315"/>
      <c r="O31" s="315"/>
      <c r="P31" s="315"/>
      <c r="Q31" s="315"/>
      <c r="R31" s="78"/>
      <c r="S31" s="249"/>
    </row>
    <row r="32" spans="1:19" x14ac:dyDescent="0.3">
      <c r="A32" s="250"/>
      <c r="K32" s="315"/>
      <c r="L32" s="315"/>
      <c r="M32" s="315"/>
      <c r="N32" s="315"/>
      <c r="O32" s="315"/>
      <c r="P32" s="315"/>
      <c r="Q32" s="315"/>
      <c r="R32" s="78"/>
      <c r="S32" s="249"/>
    </row>
    <row r="33" spans="1:19" x14ac:dyDescent="0.3">
      <c r="A33" s="250"/>
      <c r="K33" s="315"/>
      <c r="L33" s="315"/>
      <c r="M33" s="315"/>
      <c r="N33" s="315"/>
      <c r="O33" s="315"/>
      <c r="P33" s="315"/>
      <c r="Q33" s="315"/>
      <c r="R33" s="78"/>
      <c r="S33" s="249"/>
    </row>
    <row r="34" spans="1:19" x14ac:dyDescent="0.3">
      <c r="A34" s="250"/>
      <c r="K34" s="315"/>
      <c r="L34" s="315"/>
      <c r="M34" s="315"/>
      <c r="N34" s="315"/>
      <c r="O34" s="315"/>
      <c r="P34" s="315"/>
      <c r="Q34" s="315"/>
      <c r="R34" s="78"/>
      <c r="S34" s="249"/>
    </row>
    <row r="35" spans="1:19" x14ac:dyDescent="0.3">
      <c r="A35" s="338"/>
      <c r="B35" s="339"/>
      <c r="C35" s="339"/>
      <c r="D35" s="339"/>
      <c r="I35" s="342" t="s">
        <v>1</v>
      </c>
      <c r="J35" s="342"/>
      <c r="K35" s="342"/>
      <c r="L35" s="342"/>
      <c r="M35" s="315"/>
      <c r="N35" s="315"/>
      <c r="O35" s="315"/>
      <c r="P35" s="315"/>
      <c r="Q35" s="315"/>
      <c r="R35" s="78"/>
      <c r="S35" s="249"/>
    </row>
    <row r="36" spans="1:19" x14ac:dyDescent="0.3">
      <c r="A36" s="250"/>
      <c r="Q36" s="315"/>
      <c r="R36" s="78"/>
      <c r="S36" s="249"/>
    </row>
    <row r="37" spans="1:19" x14ac:dyDescent="0.3">
      <c r="A37" s="250" t="s">
        <v>2</v>
      </c>
      <c r="K37" s="315"/>
      <c r="L37" s="319"/>
      <c r="M37" s="315"/>
      <c r="N37" s="315"/>
      <c r="O37" s="315"/>
      <c r="P37" s="315"/>
      <c r="Q37" s="315"/>
      <c r="R37" s="78"/>
      <c r="S37" s="249"/>
    </row>
    <row r="38" spans="1:19" ht="15.6" customHeight="1" x14ac:dyDescent="0.3">
      <c r="A38" s="250"/>
      <c r="B38" s="320"/>
      <c r="C38" s="320"/>
      <c r="D38" s="320"/>
      <c r="E38" s="320"/>
      <c r="F38" s="320"/>
      <c r="G38" s="320"/>
      <c r="H38" s="320"/>
      <c r="K38" s="341"/>
      <c r="L38" s="341"/>
      <c r="M38" s="341"/>
      <c r="N38" s="341"/>
      <c r="P38" s="315"/>
      <c r="Q38" s="315"/>
      <c r="R38" s="78"/>
      <c r="S38" s="249"/>
    </row>
    <row r="39" spans="1:19" ht="15.6" customHeight="1" x14ac:dyDescent="0.3">
      <c r="A39" s="250"/>
      <c r="B39" s="320"/>
      <c r="C39" s="320"/>
      <c r="D39" s="320"/>
      <c r="E39" s="320"/>
      <c r="F39" s="320"/>
      <c r="G39" s="320"/>
      <c r="H39" s="320"/>
      <c r="I39" s="320"/>
      <c r="K39" s="315"/>
      <c r="L39" s="315"/>
      <c r="M39" s="315"/>
      <c r="N39" s="315"/>
      <c r="O39" s="315"/>
      <c r="P39" s="315"/>
      <c r="Q39" s="315"/>
      <c r="R39" s="78"/>
      <c r="S39" s="249"/>
    </row>
    <row r="40" spans="1:19" x14ac:dyDescent="0.3">
      <c r="A40" s="250"/>
      <c r="K40" s="315"/>
      <c r="L40" s="315"/>
      <c r="M40" s="315"/>
      <c r="N40" s="315"/>
      <c r="O40" s="315"/>
      <c r="P40" s="315"/>
      <c r="R40" s="78"/>
      <c r="S40" s="249"/>
    </row>
    <row r="41" spans="1:19" x14ac:dyDescent="0.3">
      <c r="A41" s="250"/>
      <c r="K41" s="315"/>
      <c r="L41" s="315"/>
      <c r="M41" s="315"/>
      <c r="N41" s="315"/>
      <c r="O41" s="315"/>
      <c r="P41" s="315"/>
      <c r="R41" s="78"/>
      <c r="S41" s="249"/>
    </row>
    <row r="42" spans="1:19" ht="18" x14ac:dyDescent="0.35">
      <c r="A42" s="250"/>
      <c r="B42" s="314"/>
      <c r="C42" s="314"/>
      <c r="D42" s="314"/>
      <c r="E42" s="314"/>
      <c r="F42" s="314"/>
      <c r="G42" s="314"/>
      <c r="H42" s="314"/>
      <c r="I42" s="314"/>
      <c r="K42" s="315"/>
      <c r="L42" s="315"/>
      <c r="M42" s="315"/>
      <c r="N42" s="315"/>
      <c r="O42" s="315"/>
      <c r="P42" s="315"/>
      <c r="R42" s="78"/>
      <c r="S42" s="249"/>
    </row>
    <row r="43" spans="1:19" x14ac:dyDescent="0.3">
      <c r="A43" s="250"/>
      <c r="B43" s="315"/>
      <c r="C43" s="315"/>
      <c r="D43" s="315"/>
      <c r="E43" s="315"/>
      <c r="F43" s="315"/>
      <c r="G43" s="315"/>
      <c r="H43" s="315"/>
      <c r="I43" s="78"/>
      <c r="K43" s="315"/>
      <c r="L43" s="315"/>
      <c r="M43" s="315"/>
      <c r="N43" s="315"/>
      <c r="O43" s="315"/>
      <c r="P43" s="315"/>
      <c r="R43" s="78"/>
      <c r="S43" s="249"/>
    </row>
    <row r="44" spans="1:19" x14ac:dyDescent="0.3">
      <c r="A44" s="250"/>
      <c r="B44" s="315"/>
      <c r="C44" s="315"/>
      <c r="D44" s="315"/>
      <c r="E44" s="315"/>
      <c r="F44" s="315"/>
      <c r="G44" s="315"/>
      <c r="H44" s="315"/>
      <c r="I44" s="78"/>
      <c r="K44" s="315"/>
      <c r="L44" s="315"/>
      <c r="M44" s="315"/>
      <c r="N44" s="315"/>
      <c r="O44" s="315"/>
      <c r="P44" s="315"/>
      <c r="R44" s="78"/>
      <c r="S44" s="249"/>
    </row>
    <row r="45" spans="1:19" x14ac:dyDescent="0.3">
      <c r="A45" s="250"/>
      <c r="B45" s="315"/>
      <c r="C45" s="315"/>
      <c r="D45" s="315"/>
      <c r="E45" s="315"/>
      <c r="F45" s="315"/>
      <c r="G45" s="315"/>
      <c r="H45" s="315"/>
      <c r="I45" s="78"/>
      <c r="K45" s="315"/>
      <c r="L45" s="315"/>
      <c r="M45" s="315"/>
      <c r="N45" s="315"/>
      <c r="O45" s="315"/>
      <c r="P45" s="315"/>
      <c r="R45" s="78"/>
      <c r="S45" s="249"/>
    </row>
    <row r="46" spans="1:19" x14ac:dyDescent="0.3">
      <c r="A46" s="250"/>
      <c r="B46" s="315"/>
      <c r="C46" s="315"/>
      <c r="D46" s="315"/>
      <c r="E46" s="315"/>
      <c r="F46" s="315"/>
      <c r="G46" s="315"/>
      <c r="H46" s="315"/>
      <c r="I46" s="78"/>
      <c r="K46" s="315"/>
      <c r="L46" s="315"/>
      <c r="M46" s="315"/>
      <c r="N46" s="315"/>
      <c r="O46" s="315"/>
      <c r="P46" s="315"/>
      <c r="R46" s="78"/>
      <c r="S46" s="249"/>
    </row>
    <row r="47" spans="1:19" x14ac:dyDescent="0.3">
      <c r="A47" s="250"/>
      <c r="B47" s="315"/>
      <c r="C47" s="315"/>
      <c r="D47" s="315"/>
      <c r="E47" s="315"/>
      <c r="F47" s="315"/>
      <c r="G47" s="315"/>
      <c r="H47" s="315"/>
      <c r="I47" s="78"/>
      <c r="K47" s="315"/>
      <c r="L47" s="315"/>
      <c r="M47" s="315"/>
      <c r="N47" s="315"/>
      <c r="O47" s="315"/>
      <c r="P47" s="315"/>
      <c r="R47" s="78"/>
      <c r="S47" s="249"/>
    </row>
    <row r="48" spans="1:19" x14ac:dyDescent="0.3">
      <c r="A48" s="250"/>
      <c r="B48" s="315"/>
      <c r="C48" s="315"/>
      <c r="D48" s="315"/>
      <c r="E48" s="315"/>
      <c r="F48" s="315"/>
      <c r="G48" s="315"/>
      <c r="H48" s="315"/>
      <c r="I48" s="78"/>
      <c r="K48" s="315"/>
      <c r="L48" s="315"/>
      <c r="M48" s="315"/>
      <c r="N48" s="315"/>
      <c r="O48" s="315"/>
      <c r="P48" s="315"/>
      <c r="R48" s="78"/>
      <c r="S48" s="249"/>
    </row>
    <row r="49" spans="1:19" x14ac:dyDescent="0.3">
      <c r="A49" s="250"/>
      <c r="B49" s="315"/>
      <c r="C49" s="315"/>
      <c r="D49" s="315"/>
      <c r="E49" s="315"/>
      <c r="F49" s="315"/>
      <c r="G49" s="315"/>
      <c r="H49" s="315"/>
      <c r="I49" s="78"/>
      <c r="K49" s="315"/>
      <c r="L49" s="315"/>
      <c r="M49" s="315"/>
      <c r="N49" s="315"/>
      <c r="O49" s="315"/>
      <c r="P49" s="315"/>
      <c r="R49" s="78"/>
      <c r="S49" s="249"/>
    </row>
    <row r="50" spans="1:19" x14ac:dyDescent="0.3">
      <c r="A50" s="250"/>
      <c r="B50" s="315"/>
      <c r="C50" s="315"/>
      <c r="D50" s="315"/>
      <c r="E50" s="315"/>
      <c r="F50" s="315"/>
      <c r="G50" s="315"/>
      <c r="H50" s="315"/>
      <c r="I50" s="78"/>
      <c r="K50" s="315"/>
      <c r="L50" s="315"/>
      <c r="M50" s="315"/>
      <c r="N50" s="315"/>
      <c r="O50" s="315"/>
      <c r="P50" s="315"/>
      <c r="R50" s="78"/>
      <c r="S50" s="249"/>
    </row>
    <row r="51" spans="1:19" x14ac:dyDescent="0.3">
      <c r="A51" s="250"/>
      <c r="B51" s="315"/>
      <c r="C51" s="315"/>
      <c r="D51" s="315"/>
      <c r="E51" s="315"/>
      <c r="F51" s="315"/>
      <c r="G51" s="315"/>
      <c r="H51" s="315"/>
      <c r="I51" s="78"/>
      <c r="K51" s="315"/>
      <c r="L51" s="315"/>
      <c r="M51" s="315"/>
      <c r="N51" s="315"/>
      <c r="O51" s="315"/>
      <c r="P51" s="315"/>
      <c r="R51" s="78"/>
      <c r="S51" s="249"/>
    </row>
    <row r="52" spans="1:19" x14ac:dyDescent="0.3">
      <c r="A52" s="250"/>
      <c r="B52" s="315"/>
      <c r="C52" s="315"/>
      <c r="D52" s="315"/>
      <c r="E52" s="315"/>
      <c r="F52" s="315"/>
      <c r="G52" s="315"/>
      <c r="H52" s="315"/>
      <c r="I52" s="78"/>
      <c r="K52" s="315"/>
      <c r="L52" s="315"/>
      <c r="M52" s="315"/>
      <c r="N52" s="315"/>
      <c r="O52" s="315"/>
      <c r="P52" s="315"/>
      <c r="R52" s="78"/>
      <c r="S52" s="249"/>
    </row>
    <row r="53" spans="1:19" x14ac:dyDescent="0.3">
      <c r="A53" s="250"/>
      <c r="B53" s="315"/>
      <c r="C53" s="315"/>
      <c r="D53" s="315"/>
      <c r="E53" s="315"/>
      <c r="F53" s="315"/>
      <c r="G53" s="315"/>
      <c r="H53" s="315"/>
      <c r="I53" s="78"/>
      <c r="K53" s="315"/>
      <c r="L53" s="315"/>
      <c r="M53" s="315"/>
      <c r="N53" s="315"/>
      <c r="O53" s="315"/>
      <c r="P53" s="315"/>
      <c r="R53" s="78"/>
      <c r="S53" s="249"/>
    </row>
    <row r="54" spans="1:19" x14ac:dyDescent="0.3">
      <c r="A54" s="250"/>
      <c r="B54" s="315"/>
      <c r="C54" s="315"/>
      <c r="D54" s="315"/>
      <c r="E54" s="315"/>
      <c r="F54" s="315"/>
      <c r="G54" s="315"/>
      <c r="H54" s="315"/>
      <c r="I54" s="78"/>
      <c r="K54" s="315"/>
      <c r="L54" s="315"/>
      <c r="M54" s="315"/>
      <c r="N54" s="315"/>
      <c r="O54" s="315"/>
      <c r="P54" s="315"/>
      <c r="R54" s="78"/>
      <c r="S54" s="249"/>
    </row>
    <row r="55" spans="1:19" x14ac:dyDescent="0.3">
      <c r="A55" s="250"/>
      <c r="B55" s="315"/>
      <c r="C55" s="315"/>
      <c r="D55" s="315"/>
      <c r="E55" s="315"/>
      <c r="F55" s="315"/>
      <c r="G55" s="315"/>
      <c r="H55" s="315"/>
      <c r="I55" s="78"/>
      <c r="K55" s="315"/>
      <c r="L55" s="315"/>
      <c r="M55" s="315"/>
      <c r="N55" s="315"/>
      <c r="O55" s="315"/>
      <c r="P55" s="315"/>
      <c r="R55" s="78"/>
      <c r="S55" s="249"/>
    </row>
    <row r="56" spans="1:19" x14ac:dyDescent="0.3">
      <c r="A56" s="250"/>
      <c r="S56" s="249"/>
    </row>
    <row r="57" spans="1:19" x14ac:dyDescent="0.3">
      <c r="A57" s="250"/>
      <c r="S57" s="249"/>
    </row>
    <row r="58" spans="1:19" x14ac:dyDescent="0.3">
      <c r="A58" s="250"/>
      <c r="S58" s="249"/>
    </row>
    <row r="59" spans="1:19" x14ac:dyDescent="0.3">
      <c r="A59" s="250"/>
      <c r="S59" s="249"/>
    </row>
    <row r="60" spans="1:19" x14ac:dyDescent="0.3">
      <c r="A60" s="250"/>
      <c r="S60" s="249"/>
    </row>
    <row r="61" spans="1:19" x14ac:dyDescent="0.3">
      <c r="A61" s="250"/>
      <c r="S61" s="249"/>
    </row>
    <row r="62" spans="1:19" x14ac:dyDescent="0.3">
      <c r="A62" s="250"/>
      <c r="S62" s="249"/>
    </row>
    <row r="63" spans="1:19" x14ac:dyDescent="0.3">
      <c r="A63" s="250"/>
      <c r="S63" s="249"/>
    </row>
    <row r="64" spans="1:19" x14ac:dyDescent="0.3">
      <c r="A64" s="250"/>
      <c r="S64" s="249"/>
    </row>
    <row r="65" spans="1:19" x14ac:dyDescent="0.3">
      <c r="A65" s="250"/>
      <c r="S65" s="249"/>
    </row>
    <row r="66" spans="1:19" x14ac:dyDescent="0.3">
      <c r="A66" s="250"/>
      <c r="S66" s="249"/>
    </row>
    <row r="67" spans="1:19" x14ac:dyDescent="0.3">
      <c r="A67" s="250"/>
      <c r="S67" s="249"/>
    </row>
    <row r="68" spans="1:19" x14ac:dyDescent="0.3">
      <c r="A68" s="250"/>
      <c r="S68" s="249"/>
    </row>
    <row r="69" spans="1:19" x14ac:dyDescent="0.3">
      <c r="A69" s="250"/>
      <c r="S69" s="249"/>
    </row>
    <row r="70" spans="1:19" x14ac:dyDescent="0.3">
      <c r="A70" s="250"/>
      <c r="S70" s="249"/>
    </row>
    <row r="71" spans="1:19" x14ac:dyDescent="0.3">
      <c r="A71" s="250"/>
      <c r="S71" s="249"/>
    </row>
    <row r="72" spans="1:19" x14ac:dyDescent="0.3">
      <c r="A72" s="250"/>
      <c r="S72" s="249"/>
    </row>
    <row r="73" spans="1:19" x14ac:dyDescent="0.3">
      <c r="A73" s="250"/>
      <c r="S73" s="249"/>
    </row>
    <row r="74" spans="1:19" x14ac:dyDescent="0.3">
      <c r="A74" s="250"/>
      <c r="S74" s="249"/>
    </row>
    <row r="75" spans="1:19" x14ac:dyDescent="0.3">
      <c r="A75" s="250"/>
      <c r="S75" s="249"/>
    </row>
    <row r="76" spans="1:19" x14ac:dyDescent="0.3">
      <c r="A76" s="250"/>
      <c r="S76" s="249"/>
    </row>
    <row r="77" spans="1:19" x14ac:dyDescent="0.3">
      <c r="A77" s="321"/>
      <c r="B77" s="251"/>
      <c r="C77" s="251"/>
      <c r="D77" s="251"/>
      <c r="E77" s="251"/>
      <c r="F77" s="251"/>
      <c r="G77" s="251"/>
      <c r="H77" s="251"/>
      <c r="I77" s="251"/>
      <c r="J77" s="251"/>
      <c r="K77" s="251"/>
      <c r="L77" s="251"/>
      <c r="M77" s="251"/>
      <c r="N77" s="251"/>
      <c r="O77" s="251"/>
      <c r="P77" s="251"/>
      <c r="Q77" s="251"/>
      <c r="R77" s="251"/>
      <c r="S77" s="252"/>
    </row>
  </sheetData>
  <mergeCells count="14">
    <mergeCell ref="A35:D35"/>
    <mergeCell ref="K14:P14"/>
    <mergeCell ref="K38:N38"/>
    <mergeCell ref="I35:L35"/>
    <mergeCell ref="A1:S4"/>
    <mergeCell ref="B6:C6"/>
    <mergeCell ref="E6:F6"/>
    <mergeCell ref="H6:I6"/>
    <mergeCell ref="K6:L6"/>
    <mergeCell ref="N6:O6"/>
    <mergeCell ref="Q6:R6"/>
    <mergeCell ref="Q16:R16"/>
    <mergeCell ref="Q14:R14"/>
    <mergeCell ref="Q15:R15"/>
  </mergeCells>
  <conditionalFormatting sqref="I43:I55">
    <cfRule type="expression" dxfId="5" priority="3">
      <formula>I43=0</formula>
    </cfRule>
    <cfRule type="expression" dxfId="4" priority="4">
      <formula>I43&lt;1</formula>
    </cfRule>
  </conditionalFormatting>
  <conditionalFormatting sqref="R27:R55">
    <cfRule type="expression" dxfId="3" priority="1">
      <formula>R27=0</formula>
    </cfRule>
    <cfRule type="expression" dxfId="2" priority="2">
      <formula>R27&lt;1</formula>
    </cfRule>
  </conditionalFormatting>
  <pageMargins left="0.7" right="0.7" top="0.75" bottom="0.75" header="0.3" footer="0.3"/>
  <pageSetup scale="44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3:G11"/>
  <sheetViews>
    <sheetView workbookViewId="0">
      <selection activeCell="E21" sqref="E21"/>
    </sheetView>
  </sheetViews>
  <sheetFormatPr defaultColWidth="8.81640625" defaultRowHeight="15" x14ac:dyDescent="0.25"/>
  <cols>
    <col min="1" max="1" width="8.81640625" style="15"/>
    <col min="2" max="2" width="30.453125" style="15" bestFit="1" customWidth="1"/>
    <col min="3" max="3" width="15" style="15" bestFit="1" customWidth="1"/>
    <col min="4" max="4" width="14.54296875" style="15" bestFit="1" customWidth="1"/>
    <col min="5" max="5" width="16.54296875" style="15" bestFit="1" customWidth="1"/>
    <col min="6" max="6" width="34.90625" style="15" bestFit="1" customWidth="1"/>
    <col min="7" max="7" width="24" style="67" bestFit="1" customWidth="1"/>
    <col min="8" max="16384" width="8.81640625" style="15"/>
  </cols>
  <sheetData>
    <row r="3" spans="1:6" x14ac:dyDescent="0.25">
      <c r="A3" s="17" t="s">
        <v>3</v>
      </c>
    </row>
    <row r="4" spans="1:6" x14ac:dyDescent="0.25">
      <c r="B4" s="16" t="s">
        <v>4</v>
      </c>
      <c r="C4" s="16" t="s">
        <v>5</v>
      </c>
    </row>
    <row r="5" spans="1:6" x14ac:dyDescent="0.25">
      <c r="B5" s="15" t="s">
        <v>6</v>
      </c>
      <c r="C5" s="22">
        <f>'COST SUMMARY'!E38</f>
        <v>4330399.0744350003</v>
      </c>
      <c r="D5" s="18">
        <f>C5/$C$11</f>
        <v>0.22772376535716388</v>
      </c>
    </row>
    <row r="6" spans="1:6" x14ac:dyDescent="0.25">
      <c r="B6" s="15" t="s">
        <v>7</v>
      </c>
      <c r="C6" s="22">
        <f>'COST SUMMARY'!D38</f>
        <v>10426247.660686901</v>
      </c>
      <c r="D6" s="18">
        <f t="shared" ref="D6:D10" si="0">C6/$C$11</f>
        <v>0.54828766010387275</v>
      </c>
      <c r="E6" s="16" t="s">
        <v>4</v>
      </c>
      <c r="F6" s="16" t="s">
        <v>8</v>
      </c>
    </row>
    <row r="7" spans="1:6" x14ac:dyDescent="0.25">
      <c r="B7" s="15" t="s">
        <v>9</v>
      </c>
      <c r="C7" s="22">
        <f>'COST SUMMARY'!E39</f>
        <v>289184.05019076937</v>
      </c>
      <c r="D7" s="18">
        <f>C7/$C$11</f>
        <v>1.5207393050551406E-2</v>
      </c>
      <c r="E7" s="15" t="s">
        <v>9</v>
      </c>
      <c r="F7" s="19">
        <f>C7/C5</f>
        <v>6.6780000000000006E-2</v>
      </c>
    </row>
    <row r="8" spans="1:6" x14ac:dyDescent="0.25">
      <c r="B8" s="15" t="s">
        <v>10</v>
      </c>
      <c r="C8" s="22">
        <f>'COST SUMMARY'!E40</f>
        <v>1082599.7686087501</v>
      </c>
      <c r="D8" s="18">
        <f>C8/$C$11</f>
        <v>5.6930941339290969E-2</v>
      </c>
      <c r="E8" s="15" t="s">
        <v>10</v>
      </c>
      <c r="F8" s="19">
        <f>C8/C5</f>
        <v>0.25</v>
      </c>
    </row>
    <row r="9" spans="1:6" x14ac:dyDescent="0.25">
      <c r="B9" s="15" t="s">
        <v>11</v>
      </c>
      <c r="C9" s="22">
        <f>'COST SUMMARY'!D41</f>
        <v>2606561.9151717252</v>
      </c>
      <c r="D9" s="18">
        <f t="shared" si="0"/>
        <v>0.13707191502596819</v>
      </c>
      <c r="E9" s="15" t="s">
        <v>11</v>
      </c>
      <c r="F9" s="19">
        <f>C9/C6</f>
        <v>0.25</v>
      </c>
    </row>
    <row r="10" spans="1:6" x14ac:dyDescent="0.25">
      <c r="B10" s="15" t="s">
        <v>12</v>
      </c>
      <c r="C10" s="22">
        <f>'COST SUMMARY'!F42</f>
        <v>281024.88703639706</v>
      </c>
      <c r="D10" s="18">
        <f t="shared" si="0"/>
        <v>1.47783251231527E-2</v>
      </c>
      <c r="E10" s="15" t="s">
        <v>12</v>
      </c>
      <c r="F10" s="19">
        <f>C10/SUM(C4:C9)</f>
        <v>1.4999999999999993E-2</v>
      </c>
    </row>
    <row r="11" spans="1:6" x14ac:dyDescent="0.25">
      <c r="C11" s="22">
        <f>SUM(C5:C10)</f>
        <v>19016017.356129546</v>
      </c>
      <c r="E11" s="15" t="s">
        <v>13</v>
      </c>
      <c r="F11" s="18">
        <f>'COST SUMMARY'!L11</f>
        <v>0.05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theme="3" tint="0.39997558519241921"/>
    <pageSetUpPr fitToPage="1"/>
  </sheetPr>
  <dimension ref="A1:T94"/>
  <sheetViews>
    <sheetView view="pageBreakPreview" zoomScale="60" zoomScaleNormal="55" workbookViewId="0">
      <selection activeCell="E10" sqref="E10"/>
    </sheetView>
  </sheetViews>
  <sheetFormatPr defaultColWidth="8.90625" defaultRowHeight="15.6" x14ac:dyDescent="0.25"/>
  <cols>
    <col min="1" max="1" width="7.36328125" style="1" customWidth="1"/>
    <col min="2" max="2" width="13.90625" style="4" customWidth="1"/>
    <col min="3" max="3" width="34.6328125" style="4" customWidth="1"/>
    <col min="4" max="4" width="16" style="98" customWidth="1"/>
    <col min="5" max="5" width="14.453125" style="5" bestFit="1" customWidth="1"/>
    <col min="6" max="6" width="15.36328125" style="5" customWidth="1"/>
    <col min="7" max="7" width="12.81640625" style="5" customWidth="1"/>
    <col min="8" max="8" width="7.453125" style="4" customWidth="1"/>
    <col min="9" max="9" width="3.08984375" style="4" customWidth="1"/>
    <col min="10" max="10" width="19.90625" style="6" customWidth="1"/>
    <col min="11" max="11" width="18" style="6" customWidth="1"/>
    <col min="12" max="12" width="15.08984375" style="6" customWidth="1"/>
    <col min="13" max="13" width="20.6328125" style="6" customWidth="1"/>
    <col min="14" max="14" width="14.6328125" style="6" customWidth="1"/>
    <col min="15" max="16" width="13" style="6" customWidth="1"/>
    <col min="17" max="17" width="5.08984375" style="6" customWidth="1"/>
    <col min="18" max="18" width="17.90625" style="6" customWidth="1"/>
    <col min="19" max="19" width="12" style="99" customWidth="1"/>
    <col min="20" max="20" width="8.90625" style="1"/>
    <col min="21" max="21" width="10.36328125" style="1" bestFit="1" customWidth="1"/>
    <col min="22" max="16384" width="8.90625" style="1"/>
  </cols>
  <sheetData>
    <row r="1" spans="1:20" ht="34.950000000000003" customHeight="1" x14ac:dyDescent="0.25">
      <c r="A1" s="364" t="s">
        <v>14</v>
      </c>
      <c r="B1" s="365"/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365"/>
      <c r="O1" s="365"/>
      <c r="P1" s="365"/>
      <c r="Q1" s="366"/>
      <c r="R1" s="1"/>
      <c r="S1" s="1"/>
    </row>
    <row r="2" spans="1:20" s="39" customFormat="1" ht="34.950000000000003" customHeight="1" x14ac:dyDescent="0.2">
      <c r="A2" s="367"/>
      <c r="B2" s="368"/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9"/>
      <c r="R2" s="1"/>
      <c r="S2" s="1"/>
      <c r="T2" s="1"/>
    </row>
    <row r="3" spans="1:20" x14ac:dyDescent="0.25">
      <c r="A3" s="79"/>
      <c r="B3" s="147"/>
      <c r="C3" s="147"/>
      <c r="D3" s="253"/>
      <c r="E3" s="121"/>
      <c r="F3" s="121"/>
      <c r="G3" s="121"/>
      <c r="H3" s="147"/>
      <c r="I3" s="147"/>
      <c r="J3" s="254"/>
      <c r="K3" s="254"/>
      <c r="L3" s="254"/>
      <c r="M3" s="254"/>
      <c r="N3" s="254"/>
      <c r="O3" s="254"/>
      <c r="P3" s="254"/>
      <c r="Q3" s="80"/>
      <c r="R3" s="1"/>
      <c r="S3" s="1"/>
    </row>
    <row r="4" spans="1:20" ht="21" x14ac:dyDescent="0.4">
      <c r="A4" s="79"/>
      <c r="B4" s="147"/>
      <c r="C4" s="255" t="s">
        <v>15</v>
      </c>
      <c r="D4" s="133">
        <f>'BASE BID'!K4</f>
        <v>45997</v>
      </c>
      <c r="E4" s="121"/>
      <c r="F4" s="121"/>
      <c r="G4" s="121"/>
      <c r="H4" s="147"/>
      <c r="I4" s="147"/>
      <c r="J4" s="119"/>
      <c r="K4" s="255" t="s">
        <v>16</v>
      </c>
      <c r="L4" s="256" t="str">
        <f>'BASE BID'!K7</f>
        <v>Federal Prevailing Wage)</v>
      </c>
      <c r="M4" s="119"/>
      <c r="N4" s="119"/>
      <c r="O4" s="119"/>
      <c r="P4" s="119"/>
      <c r="Q4" s="81"/>
      <c r="R4" s="1"/>
      <c r="S4" s="1"/>
    </row>
    <row r="5" spans="1:20" ht="21" x14ac:dyDescent="0.4">
      <c r="A5" s="79"/>
      <c r="B5" s="147"/>
      <c r="C5" s="255" t="s">
        <v>17</v>
      </c>
      <c r="D5" s="257" t="str">
        <f>'BASE BID'!K5</f>
        <v>Trumbull Hillcrest Middle School</v>
      </c>
      <c r="E5" s="121"/>
      <c r="F5" s="121"/>
      <c r="G5" s="121"/>
      <c r="H5" s="147"/>
      <c r="I5" s="147"/>
      <c r="J5" s="119"/>
      <c r="K5" s="255" t="s">
        <v>18</v>
      </c>
      <c r="L5" s="258" t="s">
        <v>924</v>
      </c>
      <c r="M5" s="258"/>
      <c r="N5" s="258"/>
      <c r="O5" s="258"/>
      <c r="P5" s="258"/>
      <c r="Q5" s="81"/>
      <c r="R5" s="1"/>
      <c r="S5" s="1"/>
    </row>
    <row r="6" spans="1:20" ht="20.25" customHeight="1" x14ac:dyDescent="0.4">
      <c r="A6" s="79"/>
      <c r="B6" s="147"/>
      <c r="C6" s="259" t="s">
        <v>19</v>
      </c>
      <c r="D6" s="371" t="str">
        <f>'BASE BID'!K6</f>
        <v>530 Daniels Farm Road, Trumbull, CT 06611</v>
      </c>
      <c r="E6" s="371"/>
      <c r="F6" s="371"/>
      <c r="G6" s="371"/>
      <c r="H6" s="371"/>
      <c r="I6" s="371"/>
      <c r="J6" s="119"/>
      <c r="K6" s="70" t="s">
        <v>20</v>
      </c>
      <c r="L6" s="82">
        <f>D10</f>
        <v>19016017.356129531</v>
      </c>
      <c r="M6" s="258"/>
      <c r="N6" s="258"/>
      <c r="O6" s="258"/>
      <c r="P6" s="258"/>
      <c r="Q6" s="81"/>
      <c r="R6" s="1"/>
      <c r="S6" s="1"/>
    </row>
    <row r="7" spans="1:20" ht="21" x14ac:dyDescent="0.4">
      <c r="A7" s="79"/>
      <c r="B7" s="147"/>
      <c r="C7" s="255"/>
      <c r="D7" s="371"/>
      <c r="E7" s="371"/>
      <c r="F7" s="371"/>
      <c r="G7" s="371"/>
      <c r="H7" s="371"/>
      <c r="I7" s="371"/>
      <c r="J7" s="119"/>
      <c r="K7" s="119"/>
      <c r="L7" s="119"/>
      <c r="M7" s="119"/>
      <c r="N7" s="119"/>
      <c r="O7" s="119"/>
      <c r="P7" s="119"/>
      <c r="Q7" s="80"/>
      <c r="R7" s="1"/>
      <c r="S7" s="1"/>
    </row>
    <row r="8" spans="1:20" ht="16.5" customHeight="1" x14ac:dyDescent="0.25">
      <c r="A8" s="79"/>
      <c r="B8" s="147"/>
      <c r="C8" s="147"/>
      <c r="D8" s="253"/>
      <c r="E8" s="121"/>
      <c r="F8" s="121"/>
      <c r="G8" s="121"/>
      <c r="H8" s="147"/>
      <c r="I8" s="147"/>
      <c r="J8" s="254"/>
      <c r="K8" s="254"/>
      <c r="L8" s="254"/>
      <c r="M8" s="254"/>
      <c r="N8" s="254"/>
      <c r="O8" s="119"/>
      <c r="P8" s="119"/>
      <c r="Q8" s="80"/>
      <c r="R8" s="1"/>
      <c r="S8" s="1"/>
    </row>
    <row r="9" spans="1:20" ht="49.2" customHeight="1" x14ac:dyDescent="0.25">
      <c r="A9" s="79"/>
      <c r="B9" s="363" t="s">
        <v>21</v>
      </c>
      <c r="C9" s="363"/>
      <c r="D9" s="274" t="s">
        <v>22</v>
      </c>
      <c r="E9" s="260"/>
      <c r="F9" s="121"/>
      <c r="G9" s="121"/>
      <c r="H9" s="119"/>
      <c r="I9" s="119"/>
      <c r="J9" s="372" t="s">
        <v>23</v>
      </c>
      <c r="K9" s="372"/>
      <c r="L9" s="372"/>
      <c r="M9" s="261"/>
      <c r="N9" s="261"/>
      <c r="O9" s="119"/>
      <c r="P9" s="119"/>
      <c r="Q9" s="80"/>
      <c r="R9" s="1"/>
      <c r="S9" s="1"/>
    </row>
    <row r="10" spans="1:20" s="83" customFormat="1" ht="24" customHeight="1" x14ac:dyDescent="0.25">
      <c r="A10" s="84"/>
      <c r="B10" s="373" t="s">
        <v>24</v>
      </c>
      <c r="C10" s="373"/>
      <c r="D10" s="275">
        <f>'BASE BID'!E9</f>
        <v>19016017.356129531</v>
      </c>
      <c r="E10" s="262"/>
      <c r="F10" s="263"/>
      <c r="G10" s="264"/>
      <c r="H10" s="264"/>
      <c r="I10" s="264"/>
      <c r="J10" s="372"/>
      <c r="K10" s="372"/>
      <c r="L10" s="372"/>
      <c r="M10" s="263"/>
      <c r="N10" s="263"/>
      <c r="O10" s="119"/>
      <c r="P10" s="119"/>
      <c r="Q10" s="80"/>
      <c r="R10" s="1"/>
      <c r="S10" s="1"/>
      <c r="T10" s="1"/>
    </row>
    <row r="11" spans="1:20" s="83" customFormat="1" ht="29.4" customHeight="1" x14ac:dyDescent="0.25">
      <c r="A11" s="84"/>
      <c r="B11" s="370" t="s">
        <v>25</v>
      </c>
      <c r="C11" s="370"/>
      <c r="D11" s="370"/>
      <c r="E11" s="260"/>
      <c r="F11" s="264"/>
      <c r="G11" s="264"/>
      <c r="H11" s="264"/>
      <c r="I11" s="264"/>
      <c r="J11" s="374" t="s">
        <v>26</v>
      </c>
      <c r="K11" s="374"/>
      <c r="L11" s="276">
        <v>0.05</v>
      </c>
      <c r="M11" s="263"/>
      <c r="N11" s="263"/>
      <c r="O11" s="119"/>
      <c r="P11" s="119"/>
      <c r="Q11" s="80"/>
      <c r="R11" s="1"/>
      <c r="S11" s="1"/>
      <c r="T11" s="1"/>
    </row>
    <row r="12" spans="1:20" s="83" customFormat="1" ht="29.4" customHeight="1" x14ac:dyDescent="0.25">
      <c r="A12" s="84"/>
      <c r="B12" s="361"/>
      <c r="C12" s="361"/>
      <c r="D12" s="85"/>
      <c r="E12" s="260"/>
      <c r="F12" s="265"/>
      <c r="G12" s="265"/>
      <c r="H12" s="266"/>
      <c r="I12" s="266"/>
      <c r="J12" s="266"/>
      <c r="K12" s="266"/>
      <c r="L12" s="266"/>
      <c r="M12" s="266"/>
      <c r="N12" s="267"/>
      <c r="O12" s="119"/>
      <c r="P12" s="119"/>
      <c r="Q12" s="80"/>
      <c r="R12" s="1"/>
      <c r="S12" s="1"/>
      <c r="T12" s="1"/>
    </row>
    <row r="13" spans="1:20" s="83" customFormat="1" ht="25.8" x14ac:dyDescent="0.25">
      <c r="A13" s="86"/>
      <c r="B13" s="362" t="s">
        <v>27</v>
      </c>
      <c r="C13" s="362"/>
      <c r="D13" s="362"/>
      <c r="E13" s="362"/>
      <c r="F13" s="362"/>
      <c r="G13" s="362"/>
      <c r="H13" s="266"/>
      <c r="I13" s="266"/>
      <c r="J13" s="266"/>
      <c r="K13" s="266"/>
      <c r="L13" s="266"/>
      <c r="M13" s="266"/>
      <c r="N13" s="267"/>
      <c r="O13" s="119"/>
      <c r="P13" s="119"/>
      <c r="Q13" s="80"/>
      <c r="R13" s="1"/>
      <c r="S13" s="1"/>
      <c r="T13" s="1"/>
    </row>
    <row r="14" spans="1:20" ht="30" customHeight="1" x14ac:dyDescent="0.25">
      <c r="A14" s="79"/>
      <c r="B14" s="361"/>
      <c r="C14" s="361"/>
      <c r="D14" s="87"/>
      <c r="E14" s="88"/>
      <c r="F14" s="268"/>
      <c r="G14" s="268"/>
      <c r="H14" s="147"/>
      <c r="I14" s="147"/>
      <c r="J14" s="269"/>
      <c r="K14" s="269"/>
      <c r="L14" s="269"/>
      <c r="M14" s="119"/>
      <c r="N14" s="119"/>
      <c r="O14" s="119"/>
      <c r="P14" s="119"/>
      <c r="Q14" s="80"/>
      <c r="R14" s="1"/>
      <c r="S14" s="1"/>
    </row>
    <row r="15" spans="1:20" s="83" customFormat="1" ht="29.4" customHeight="1" x14ac:dyDescent="0.25">
      <c r="A15" s="86"/>
      <c r="B15" s="270"/>
      <c r="C15" s="270"/>
      <c r="D15" s="89"/>
      <c r="E15" s="271"/>
      <c r="F15" s="271"/>
      <c r="G15" s="268"/>
      <c r="H15" s="266"/>
      <c r="I15" s="266"/>
      <c r="J15" s="359" t="s">
        <v>28</v>
      </c>
      <c r="K15" s="359"/>
      <c r="L15" s="359"/>
      <c r="M15" s="266"/>
      <c r="N15" s="267"/>
      <c r="O15" s="119"/>
      <c r="P15" s="119"/>
      <c r="Q15" s="80"/>
      <c r="R15" s="1"/>
      <c r="S15" s="1"/>
      <c r="T15" s="1"/>
    </row>
    <row r="16" spans="1:20" ht="18" x14ac:dyDescent="0.25">
      <c r="A16" s="79"/>
      <c r="B16" s="272"/>
      <c r="C16" s="272"/>
      <c r="D16" s="272"/>
      <c r="E16" s="272"/>
      <c r="F16" s="272"/>
      <c r="G16" s="272"/>
      <c r="H16" s="147"/>
      <c r="I16" s="147"/>
      <c r="J16" s="359"/>
      <c r="K16" s="359"/>
      <c r="L16" s="359"/>
      <c r="M16" s="119"/>
      <c r="N16" s="119"/>
      <c r="O16" s="119"/>
      <c r="P16" s="119"/>
      <c r="Q16" s="80"/>
      <c r="R16" s="1"/>
      <c r="S16" s="1"/>
    </row>
    <row r="17" spans="1:19" ht="24" customHeight="1" x14ac:dyDescent="0.25">
      <c r="A17" s="79"/>
      <c r="B17" s="363" t="s">
        <v>29</v>
      </c>
      <c r="C17" s="363"/>
      <c r="D17" s="363"/>
      <c r="E17" s="363"/>
      <c r="F17" s="363"/>
      <c r="G17" s="363"/>
      <c r="H17" s="147"/>
      <c r="I17" s="147"/>
      <c r="J17" s="360" t="s">
        <v>30</v>
      </c>
      <c r="K17" s="360"/>
      <c r="L17" s="360"/>
      <c r="M17" s="377" t="s">
        <v>31</v>
      </c>
      <c r="N17" s="119"/>
      <c r="O17" s="119"/>
      <c r="P17" s="119"/>
      <c r="Q17" s="80"/>
      <c r="R17" s="1"/>
      <c r="S17" s="1"/>
    </row>
    <row r="18" spans="1:19" ht="25.5" customHeight="1" x14ac:dyDescent="0.25">
      <c r="A18" s="79"/>
      <c r="B18" s="363"/>
      <c r="C18" s="363"/>
      <c r="D18" s="363"/>
      <c r="E18" s="363"/>
      <c r="F18" s="363"/>
      <c r="G18" s="363"/>
      <c r="H18" s="147"/>
      <c r="I18" s="147"/>
      <c r="J18" s="360"/>
      <c r="K18" s="360"/>
      <c r="L18" s="360"/>
      <c r="M18" s="377"/>
      <c r="N18" s="119"/>
      <c r="O18" s="119"/>
      <c r="P18" s="119"/>
      <c r="Q18" s="119"/>
      <c r="R18" s="375" t="s">
        <v>32</v>
      </c>
      <c r="S18" s="1"/>
    </row>
    <row r="19" spans="1:19" ht="43.35" customHeight="1" x14ac:dyDescent="0.25">
      <c r="A19" s="79"/>
      <c r="B19" s="277" t="s">
        <v>33</v>
      </c>
      <c r="C19" s="278" t="s">
        <v>34</v>
      </c>
      <c r="D19" s="279" t="s">
        <v>35</v>
      </c>
      <c r="E19" s="277" t="s">
        <v>36</v>
      </c>
      <c r="F19" s="279" t="s">
        <v>37</v>
      </c>
      <c r="G19" s="280" t="s">
        <v>38</v>
      </c>
      <c r="H19" s="147"/>
      <c r="I19" s="147"/>
      <c r="J19" s="296" t="s">
        <v>39</v>
      </c>
      <c r="K19" s="297" t="s">
        <v>40</v>
      </c>
      <c r="L19" s="297" t="s">
        <v>41</v>
      </c>
      <c r="M19" s="297" t="s">
        <v>42</v>
      </c>
      <c r="N19" s="376" t="s">
        <v>43</v>
      </c>
      <c r="O19" s="376"/>
      <c r="P19" s="376"/>
      <c r="Q19" s="119"/>
      <c r="R19" s="375"/>
      <c r="S19" s="1"/>
    </row>
    <row r="20" spans="1:19" ht="16.350000000000001" customHeight="1" x14ac:dyDescent="0.25">
      <c r="A20" s="79"/>
      <c r="B20" s="8" t="s">
        <v>44</v>
      </c>
      <c r="C20" s="66" t="s">
        <v>45</v>
      </c>
      <c r="D20" s="71">
        <f>SUMIF('BASE BID'!D:D, B20,'BASE BID'!N:N)</f>
        <v>2430165.7301334674</v>
      </c>
      <c r="E20" s="71">
        <f>SUMIF('BASE BID'!D:D, B20, 'BASE BID'!P:P)</f>
        <v>0</v>
      </c>
      <c r="F20" s="281">
        <f>SUMIF('BASE BID'!D:D, B20, 'BASE BID'!Q:Q)</f>
        <v>2430165.7301334674</v>
      </c>
      <c r="G20" s="282">
        <f t="shared" ref="G20:G37" si="0">F20/$F$38</f>
        <v>0.16468278828885266</v>
      </c>
      <c r="H20" s="147"/>
      <c r="I20" s="147"/>
      <c r="J20" s="298">
        <f>((D20*(1+$G$41))+(E20*(1+$G$39+$G$40)))*(1+$G$42)</f>
        <v>3083272.7701068362</v>
      </c>
      <c r="K20" s="298">
        <f t="shared" ref="K20:K21" si="1">IF(R20="",J20,R20*(1+L$11))</f>
        <v>0</v>
      </c>
      <c r="L20" s="299">
        <f>J20-K20</f>
        <v>3083272.7701068362</v>
      </c>
      <c r="M20" s="299"/>
      <c r="N20" s="304"/>
      <c r="O20" s="304"/>
      <c r="P20" s="304"/>
      <c r="Q20" s="119"/>
      <c r="R20" s="305">
        <v>0</v>
      </c>
      <c r="S20" s="1"/>
    </row>
    <row r="21" spans="1:19" x14ac:dyDescent="0.25">
      <c r="A21" s="79"/>
      <c r="B21" s="8" t="s">
        <v>47</v>
      </c>
      <c r="C21" s="66" t="s">
        <v>48</v>
      </c>
      <c r="D21" s="71">
        <f>SUMIF('BASE BID'!D:D, B21,'BASE BID'!N:N)</f>
        <v>0</v>
      </c>
      <c r="E21" s="71">
        <f>SUMIF('BASE BID'!D:D, B21, 'BASE BID'!P:P)</f>
        <v>0</v>
      </c>
      <c r="F21" s="281">
        <f>SUMIF('BASE BID'!D:D, B21, 'BASE BID'!Q:Q)</f>
        <v>0</v>
      </c>
      <c r="G21" s="282">
        <f t="shared" si="0"/>
        <v>0</v>
      </c>
      <c r="H21" s="147"/>
      <c r="I21" s="147"/>
      <c r="J21" s="298">
        <f>((D21*(1+$G$41))+(E21*(1+$G$39+$G$40)))*(1+$G$42)</f>
        <v>0</v>
      </c>
      <c r="K21" s="298">
        <f t="shared" si="1"/>
        <v>0</v>
      </c>
      <c r="L21" s="299">
        <f t="shared" ref="L21" si="2">J21-K21</f>
        <v>0</v>
      </c>
      <c r="M21" s="299"/>
      <c r="N21" s="304"/>
      <c r="O21" s="304"/>
      <c r="P21" s="304"/>
      <c r="Q21" s="119"/>
      <c r="R21" s="305">
        <v>0</v>
      </c>
      <c r="S21" s="1"/>
    </row>
    <row r="22" spans="1:19" x14ac:dyDescent="0.25">
      <c r="A22" s="79"/>
      <c r="B22" s="8" t="s">
        <v>50</v>
      </c>
      <c r="C22" s="66" t="s">
        <v>742</v>
      </c>
      <c r="D22" s="71">
        <f>SUMIF('BASE BID'!D:D, B22,'BASE BID'!N:N)</f>
        <v>7996081.9305534335</v>
      </c>
      <c r="E22" s="71">
        <f>SUMIF('BASE BID'!D:D, B22, 'BASE BID'!P:P)</f>
        <v>4330399.0744350003</v>
      </c>
      <c r="F22" s="281">
        <f>SUMIF('BASE BID'!D:D, B22, 'BASE BID'!Q:Q)</f>
        <v>12326481.004988423</v>
      </c>
      <c r="G22" s="282">
        <f t="shared" si="0"/>
        <v>0.83531721171114726</v>
      </c>
      <c r="H22" s="147"/>
      <c r="I22" s="147"/>
      <c r="J22" s="298">
        <f t="shared" ref="J22:J37" si="3">((D22*(1+$G$41))+(E22*(1+$G$39+$G$40)))*(1+$G$42)</f>
        <v>15932744.586022707</v>
      </c>
      <c r="K22" s="298">
        <v>0</v>
      </c>
      <c r="L22" s="299">
        <f t="shared" ref="L22:L37" si="4">J22-K22</f>
        <v>15932744.586022707</v>
      </c>
      <c r="M22" s="299"/>
      <c r="N22" s="304"/>
      <c r="O22" s="304"/>
      <c r="P22" s="304"/>
      <c r="Q22" s="119"/>
      <c r="R22" s="305">
        <v>0</v>
      </c>
      <c r="S22" s="1"/>
    </row>
    <row r="23" spans="1:19" x14ac:dyDescent="0.25">
      <c r="A23" s="79"/>
      <c r="B23" s="8" t="s">
        <v>51</v>
      </c>
      <c r="C23" s="66" t="s">
        <v>52</v>
      </c>
      <c r="D23" s="71">
        <f>SUMIF('BASE BID'!D:D, B23,'BASE BID'!N:N)</f>
        <v>0</v>
      </c>
      <c r="E23" s="71">
        <f>SUMIF('BASE BID'!D:D, B23, 'BASE BID'!P:P)</f>
        <v>0</v>
      </c>
      <c r="F23" s="281">
        <f>SUMIF('BASE BID'!D:D, B23, 'BASE BID'!Q:Q)</f>
        <v>0</v>
      </c>
      <c r="G23" s="282">
        <f t="shared" si="0"/>
        <v>0</v>
      </c>
      <c r="H23" s="147"/>
      <c r="I23" s="147"/>
      <c r="J23" s="298">
        <f t="shared" si="3"/>
        <v>0</v>
      </c>
      <c r="K23" s="298">
        <v>0</v>
      </c>
      <c r="L23" s="299">
        <f t="shared" si="4"/>
        <v>0</v>
      </c>
      <c r="M23" s="299"/>
      <c r="N23" s="304"/>
      <c r="O23" s="304"/>
      <c r="P23" s="304"/>
      <c r="Q23" s="119"/>
      <c r="R23" s="305">
        <v>0</v>
      </c>
      <c r="S23" s="1"/>
    </row>
    <row r="24" spans="1:19" x14ac:dyDescent="0.25">
      <c r="A24" s="79"/>
      <c r="B24" s="8" t="s">
        <v>53</v>
      </c>
      <c r="C24" s="66" t="s">
        <v>54</v>
      </c>
      <c r="D24" s="71">
        <f>SUMIF('BASE BID'!D:D, B24,'BASE BID'!N:N)</f>
        <v>0</v>
      </c>
      <c r="E24" s="71">
        <f>SUMIF('BASE BID'!D:D, B24, 'BASE BID'!P:P)</f>
        <v>0</v>
      </c>
      <c r="F24" s="281">
        <f>SUMIF('BASE BID'!D:D, B24, 'BASE BID'!Q:Q)</f>
        <v>0</v>
      </c>
      <c r="G24" s="282">
        <f t="shared" si="0"/>
        <v>0</v>
      </c>
      <c r="H24" s="147"/>
      <c r="I24" s="147"/>
      <c r="J24" s="298">
        <f t="shared" si="3"/>
        <v>0</v>
      </c>
      <c r="K24" s="298">
        <v>0</v>
      </c>
      <c r="L24" s="299">
        <f t="shared" si="4"/>
        <v>0</v>
      </c>
      <c r="M24" s="299"/>
      <c r="N24" s="304"/>
      <c r="O24" s="304"/>
      <c r="P24" s="304"/>
      <c r="Q24" s="119"/>
      <c r="R24" s="305">
        <v>0</v>
      </c>
      <c r="S24" s="1"/>
    </row>
    <row r="25" spans="1:19" x14ac:dyDescent="0.25">
      <c r="A25" s="79"/>
      <c r="B25" s="8" t="s">
        <v>55</v>
      </c>
      <c r="C25" s="66" t="s">
        <v>56</v>
      </c>
      <c r="D25" s="71">
        <f>SUMIF('BASE BID'!D:D, B25,'BASE BID'!N:N)</f>
        <v>0</v>
      </c>
      <c r="E25" s="71">
        <f>SUMIF('BASE BID'!D:D, B25, 'BASE BID'!P:P)</f>
        <v>0</v>
      </c>
      <c r="F25" s="281">
        <f>SUMIF('BASE BID'!D:D, B25, 'BASE BID'!Q:Q)</f>
        <v>0</v>
      </c>
      <c r="G25" s="282">
        <f t="shared" si="0"/>
        <v>0</v>
      </c>
      <c r="H25" s="147"/>
      <c r="I25" s="147"/>
      <c r="J25" s="298">
        <f t="shared" si="3"/>
        <v>0</v>
      </c>
      <c r="K25" s="298">
        <v>0</v>
      </c>
      <c r="L25" s="299">
        <f t="shared" si="4"/>
        <v>0</v>
      </c>
      <c r="M25" s="299"/>
      <c r="N25" s="304"/>
      <c r="O25" s="304"/>
      <c r="P25" s="304"/>
      <c r="Q25" s="119"/>
      <c r="R25" s="305">
        <v>0</v>
      </c>
      <c r="S25" s="1"/>
    </row>
    <row r="26" spans="1:19" x14ac:dyDescent="0.25">
      <c r="A26" s="79"/>
      <c r="B26" s="8" t="s">
        <v>57</v>
      </c>
      <c r="C26" s="66" t="s">
        <v>58</v>
      </c>
      <c r="D26" s="71">
        <f>SUMIF('BASE BID'!D:D, B26,'BASE BID'!N:N)</f>
        <v>0</v>
      </c>
      <c r="E26" s="71">
        <f>SUMIF('BASE BID'!D:D, B26, 'BASE BID'!P:P)</f>
        <v>0</v>
      </c>
      <c r="F26" s="281">
        <f>SUMIF('BASE BID'!D:D, B26, 'BASE BID'!Q:Q)</f>
        <v>0</v>
      </c>
      <c r="G26" s="282">
        <f t="shared" si="0"/>
        <v>0</v>
      </c>
      <c r="H26" s="147"/>
      <c r="I26" s="147"/>
      <c r="J26" s="298">
        <f t="shared" si="3"/>
        <v>0</v>
      </c>
      <c r="K26" s="298">
        <v>0</v>
      </c>
      <c r="L26" s="299">
        <f t="shared" si="4"/>
        <v>0</v>
      </c>
      <c r="M26" s="299"/>
      <c r="N26" s="304"/>
      <c r="O26" s="304"/>
      <c r="P26" s="304"/>
      <c r="Q26" s="119"/>
      <c r="R26" s="305">
        <v>0</v>
      </c>
      <c r="S26" s="1"/>
    </row>
    <row r="27" spans="1:19" x14ac:dyDescent="0.25">
      <c r="A27" s="79"/>
      <c r="B27" s="8" t="s">
        <v>59</v>
      </c>
      <c r="C27" s="66" t="s">
        <v>741</v>
      </c>
      <c r="D27" s="71">
        <f>SUMIF('BASE BID'!D:D, B27,'BASE BID'!N:N)</f>
        <v>0</v>
      </c>
      <c r="E27" s="71">
        <f>SUMIF('BASE BID'!D:D, B27, 'BASE BID'!P:P)</f>
        <v>0</v>
      </c>
      <c r="F27" s="281">
        <f>SUMIF('BASE BID'!D:D, B27, 'BASE BID'!Q:Q)</f>
        <v>0</v>
      </c>
      <c r="G27" s="282">
        <f t="shared" si="0"/>
        <v>0</v>
      </c>
      <c r="H27" s="147"/>
      <c r="I27" s="147"/>
      <c r="J27" s="298">
        <f t="shared" si="3"/>
        <v>0</v>
      </c>
      <c r="K27" s="298">
        <v>0</v>
      </c>
      <c r="L27" s="299">
        <f t="shared" si="4"/>
        <v>0</v>
      </c>
      <c r="M27" s="299"/>
      <c r="N27" s="304"/>
      <c r="O27" s="304"/>
      <c r="P27" s="304"/>
      <c r="Q27" s="119"/>
      <c r="R27" s="305">
        <v>0</v>
      </c>
      <c r="S27" s="1"/>
    </row>
    <row r="28" spans="1:19" x14ac:dyDescent="0.25">
      <c r="A28" s="79"/>
      <c r="B28" s="8" t="s">
        <v>62</v>
      </c>
      <c r="C28" s="66" t="s">
        <v>823</v>
      </c>
      <c r="D28" s="71">
        <f>SUMIF('BASE BID'!D:D, B28,'BASE BID'!N:N)</f>
        <v>0</v>
      </c>
      <c r="E28" s="71">
        <f>SUMIF('BASE BID'!D:D, B28, 'BASE BID'!P:P)</f>
        <v>0</v>
      </c>
      <c r="F28" s="281">
        <f>SUMIF('BASE BID'!D:D, B28, 'BASE BID'!Q:Q)</f>
        <v>0</v>
      </c>
      <c r="G28" s="282">
        <f t="shared" si="0"/>
        <v>0</v>
      </c>
      <c r="H28" s="147"/>
      <c r="I28" s="147"/>
      <c r="J28" s="298">
        <f t="shared" si="3"/>
        <v>0</v>
      </c>
      <c r="K28" s="298">
        <v>0</v>
      </c>
      <c r="L28" s="299">
        <f t="shared" si="4"/>
        <v>0</v>
      </c>
      <c r="M28" s="299"/>
      <c r="N28" s="304"/>
      <c r="O28" s="304"/>
      <c r="P28" s="304"/>
      <c r="Q28" s="119"/>
      <c r="R28" s="305">
        <v>0</v>
      </c>
      <c r="S28" s="1"/>
    </row>
    <row r="29" spans="1:19" x14ac:dyDescent="0.25">
      <c r="A29" s="79"/>
      <c r="B29" s="8" t="s">
        <v>66</v>
      </c>
      <c r="C29" s="66" t="s">
        <v>67</v>
      </c>
      <c r="D29" s="71">
        <f>SUMIF('BASE BID'!D:D, B29,'BASE BID'!N:N)</f>
        <v>0</v>
      </c>
      <c r="E29" s="71">
        <f>SUMIF('BASE BID'!D:D, B29, 'BASE BID'!P:P)</f>
        <v>0</v>
      </c>
      <c r="F29" s="281">
        <f>SUMIF('BASE BID'!D:D, B29, 'BASE BID'!Q:Q)</f>
        <v>0</v>
      </c>
      <c r="G29" s="282">
        <f t="shared" si="0"/>
        <v>0</v>
      </c>
      <c r="H29" s="147"/>
      <c r="I29" s="147"/>
      <c r="J29" s="298">
        <f t="shared" si="3"/>
        <v>0</v>
      </c>
      <c r="K29" s="298">
        <v>0</v>
      </c>
      <c r="L29" s="299">
        <f t="shared" si="4"/>
        <v>0</v>
      </c>
      <c r="M29" s="299"/>
      <c r="N29" s="304"/>
      <c r="O29" s="304"/>
      <c r="P29" s="304"/>
      <c r="Q29" s="119"/>
      <c r="R29" s="305">
        <v>0</v>
      </c>
      <c r="S29" s="1"/>
    </row>
    <row r="30" spans="1:19" x14ac:dyDescent="0.25">
      <c r="A30" s="79"/>
      <c r="B30" s="8" t="s">
        <v>68</v>
      </c>
      <c r="C30" s="66" t="s">
        <v>816</v>
      </c>
      <c r="D30" s="71">
        <f>SUMIF('BASE BID'!D:D, B30,'BASE BID'!N:N)</f>
        <v>0</v>
      </c>
      <c r="E30" s="71">
        <f>SUMIF('BASE BID'!D:D, B30, 'BASE BID'!P:P)</f>
        <v>0</v>
      </c>
      <c r="F30" s="281">
        <f>SUMIF('BASE BID'!D:D, B30, 'BASE BID'!Q:Q)</f>
        <v>0</v>
      </c>
      <c r="G30" s="282">
        <f t="shared" si="0"/>
        <v>0</v>
      </c>
      <c r="H30" s="147"/>
      <c r="I30" s="147"/>
      <c r="J30" s="298">
        <f t="shared" si="3"/>
        <v>0</v>
      </c>
      <c r="K30" s="298">
        <v>0</v>
      </c>
      <c r="L30" s="299">
        <f t="shared" si="4"/>
        <v>0</v>
      </c>
      <c r="M30" s="299"/>
      <c r="N30" s="304"/>
      <c r="O30" s="304"/>
      <c r="P30" s="304"/>
      <c r="Q30" s="119"/>
      <c r="R30" s="305">
        <v>0</v>
      </c>
      <c r="S30" s="1"/>
    </row>
    <row r="31" spans="1:19" x14ac:dyDescent="0.25">
      <c r="A31" s="79"/>
      <c r="B31" s="8" t="s">
        <v>69</v>
      </c>
      <c r="C31" s="66" t="s">
        <v>824</v>
      </c>
      <c r="D31" s="71">
        <f>SUMIF('BASE BID'!D:D, B31,'BASE BID'!N:N)</f>
        <v>0</v>
      </c>
      <c r="E31" s="71">
        <f>SUMIF('BASE BID'!D:D, B31, 'BASE BID'!P:P)</f>
        <v>0</v>
      </c>
      <c r="F31" s="281">
        <f>SUMIF('BASE BID'!D:D, B31, 'BASE BID'!Q:Q)</f>
        <v>0</v>
      </c>
      <c r="G31" s="282">
        <f t="shared" si="0"/>
        <v>0</v>
      </c>
      <c r="H31" s="147"/>
      <c r="I31" s="147"/>
      <c r="J31" s="298">
        <f t="shared" si="3"/>
        <v>0</v>
      </c>
      <c r="K31" s="298">
        <v>0</v>
      </c>
      <c r="L31" s="299">
        <f t="shared" si="4"/>
        <v>0</v>
      </c>
      <c r="M31" s="299"/>
      <c r="N31" s="304"/>
      <c r="O31" s="304"/>
      <c r="P31" s="304"/>
      <c r="Q31" s="119"/>
      <c r="R31" s="305">
        <v>0</v>
      </c>
      <c r="S31" s="1"/>
    </row>
    <row r="32" spans="1:19" x14ac:dyDescent="0.25">
      <c r="A32" s="79"/>
      <c r="B32" s="8" t="s">
        <v>70</v>
      </c>
      <c r="C32" s="66" t="s">
        <v>71</v>
      </c>
      <c r="D32" s="71">
        <f>SUMIF('BASE BID'!D:D, B32,'BASE BID'!N:N)</f>
        <v>0</v>
      </c>
      <c r="E32" s="71">
        <f>SUMIF('BASE BID'!D:D, B32, 'BASE BID'!P:P)</f>
        <v>0</v>
      </c>
      <c r="F32" s="281">
        <f>SUMIF('BASE BID'!D:D, B32, 'BASE BID'!Q:Q)</f>
        <v>0</v>
      </c>
      <c r="G32" s="282">
        <f t="shared" si="0"/>
        <v>0</v>
      </c>
      <c r="H32" s="147"/>
      <c r="I32" s="147"/>
      <c r="J32" s="298">
        <f t="shared" si="3"/>
        <v>0</v>
      </c>
      <c r="K32" s="298">
        <v>0</v>
      </c>
      <c r="L32" s="299">
        <f t="shared" si="4"/>
        <v>0</v>
      </c>
      <c r="M32" s="299"/>
      <c r="N32" s="304"/>
      <c r="O32" s="304"/>
      <c r="P32" s="304"/>
      <c r="Q32" s="119"/>
      <c r="R32" s="305">
        <v>0</v>
      </c>
      <c r="S32" s="1"/>
    </row>
    <row r="33" spans="1:19" x14ac:dyDescent="0.25">
      <c r="A33" s="79"/>
      <c r="B33" s="8" t="s">
        <v>72</v>
      </c>
      <c r="C33" s="66" t="s">
        <v>825</v>
      </c>
      <c r="D33" s="71">
        <f>SUMIF('BASE BID'!D:D, B33,'BASE BID'!N:N)</f>
        <v>0</v>
      </c>
      <c r="E33" s="71">
        <f>SUMIF('BASE BID'!D:D, B33, 'BASE BID'!P:P)</f>
        <v>0</v>
      </c>
      <c r="F33" s="281">
        <f>SUMIF('BASE BID'!D:D, B33, 'BASE BID'!Q:Q)</f>
        <v>0</v>
      </c>
      <c r="G33" s="282">
        <f t="shared" si="0"/>
        <v>0</v>
      </c>
      <c r="H33" s="147"/>
      <c r="I33" s="147"/>
      <c r="J33" s="298">
        <f t="shared" si="3"/>
        <v>0</v>
      </c>
      <c r="K33" s="298">
        <v>0</v>
      </c>
      <c r="L33" s="299">
        <f t="shared" si="4"/>
        <v>0</v>
      </c>
      <c r="M33" s="299"/>
      <c r="N33" s="304"/>
      <c r="O33" s="304"/>
      <c r="P33" s="304"/>
      <c r="Q33" s="119"/>
      <c r="R33" s="305">
        <v>0</v>
      </c>
      <c r="S33" s="1"/>
    </row>
    <row r="34" spans="1:19" x14ac:dyDescent="0.25">
      <c r="A34" s="79"/>
      <c r="B34" s="8" t="s">
        <v>817</v>
      </c>
      <c r="C34" s="66" t="s">
        <v>818</v>
      </c>
      <c r="D34" s="71">
        <f>SUMIF('BASE BID'!D:D, B34,'BASE BID'!N:N)</f>
        <v>0</v>
      </c>
      <c r="E34" s="71">
        <f>SUMIF('BASE BID'!D:D, B34, 'BASE BID'!P:P)</f>
        <v>0</v>
      </c>
      <c r="F34" s="281">
        <f>SUMIF('BASE BID'!D:D, B34, 'BASE BID'!Q:Q)</f>
        <v>0</v>
      </c>
      <c r="G34" s="282">
        <f t="shared" si="0"/>
        <v>0</v>
      </c>
      <c r="H34" s="147"/>
      <c r="I34" s="147"/>
      <c r="J34" s="298">
        <f t="shared" si="3"/>
        <v>0</v>
      </c>
      <c r="K34" s="298">
        <v>0</v>
      </c>
      <c r="L34" s="299">
        <f t="shared" si="4"/>
        <v>0</v>
      </c>
      <c r="M34" s="299"/>
      <c r="N34" s="304"/>
      <c r="O34" s="304"/>
      <c r="P34" s="304"/>
      <c r="Q34" s="119"/>
      <c r="R34" s="305">
        <v>0</v>
      </c>
      <c r="S34" s="1"/>
    </row>
    <row r="35" spans="1:19" x14ac:dyDescent="0.25">
      <c r="A35" s="79"/>
      <c r="B35" s="8" t="s">
        <v>73</v>
      </c>
      <c r="C35" s="66" t="s">
        <v>821</v>
      </c>
      <c r="D35" s="71">
        <f>SUMIF('BASE BID'!D:D, B35,'BASE BID'!N:N)</f>
        <v>0</v>
      </c>
      <c r="E35" s="71">
        <f>SUMIF('BASE BID'!D:D, B35, 'BASE BID'!P:P)</f>
        <v>0</v>
      </c>
      <c r="F35" s="281">
        <f>SUMIF('BASE BID'!D:D, B35, 'BASE BID'!Q:Q)</f>
        <v>0</v>
      </c>
      <c r="G35" s="282">
        <f t="shared" si="0"/>
        <v>0</v>
      </c>
      <c r="H35" s="147"/>
      <c r="I35" s="147"/>
      <c r="J35" s="298">
        <f t="shared" si="3"/>
        <v>0</v>
      </c>
      <c r="K35" s="298">
        <v>0</v>
      </c>
      <c r="L35" s="299">
        <f t="shared" si="4"/>
        <v>0</v>
      </c>
      <c r="M35" s="299"/>
      <c r="N35" s="304"/>
      <c r="O35" s="304"/>
      <c r="P35" s="304"/>
      <c r="Q35" s="119"/>
      <c r="R35" s="305">
        <v>0</v>
      </c>
      <c r="S35" s="1"/>
    </row>
    <row r="36" spans="1:19" x14ac:dyDescent="0.25">
      <c r="A36" s="79"/>
      <c r="B36" s="8" t="s">
        <v>74</v>
      </c>
      <c r="C36" s="66" t="s">
        <v>822</v>
      </c>
      <c r="D36" s="71">
        <f>SUMIF('BASE BID'!D:D, B36,'BASE BID'!N:N)</f>
        <v>0</v>
      </c>
      <c r="E36" s="71">
        <f>SUMIF('BASE BID'!D:D, B36, 'BASE BID'!P:P)</f>
        <v>0</v>
      </c>
      <c r="F36" s="281">
        <f>SUMIF('BASE BID'!D:D, B36, 'BASE BID'!Q:Q)</f>
        <v>0</v>
      </c>
      <c r="G36" s="282">
        <f t="shared" si="0"/>
        <v>0</v>
      </c>
      <c r="H36" s="147"/>
      <c r="I36" s="147"/>
      <c r="J36" s="298">
        <f t="shared" si="3"/>
        <v>0</v>
      </c>
      <c r="K36" s="298">
        <v>0</v>
      </c>
      <c r="L36" s="299">
        <f t="shared" si="4"/>
        <v>0</v>
      </c>
      <c r="M36" s="299"/>
      <c r="N36" s="304"/>
      <c r="O36" s="304"/>
      <c r="P36" s="304"/>
      <c r="Q36" s="119"/>
      <c r="R36" s="305">
        <v>0</v>
      </c>
      <c r="S36" s="1"/>
    </row>
    <row r="37" spans="1:19" x14ac:dyDescent="0.25">
      <c r="A37" s="79"/>
      <c r="B37" s="8" t="s">
        <v>75</v>
      </c>
      <c r="C37" s="66" t="s">
        <v>76</v>
      </c>
      <c r="D37" s="71">
        <f>SUMIF('BASE BID'!D:D, B37,'BASE BID'!N:N)</f>
        <v>0</v>
      </c>
      <c r="E37" s="71">
        <f>SUMIF('BASE BID'!D:D, B37, 'BASE BID'!P:P)</f>
        <v>0</v>
      </c>
      <c r="F37" s="281">
        <f>SUMIF('BASE BID'!D:D, B37, 'BASE BID'!Q:Q)</f>
        <v>0</v>
      </c>
      <c r="G37" s="282">
        <f t="shared" si="0"/>
        <v>0</v>
      </c>
      <c r="H37" s="147"/>
      <c r="I37" s="147"/>
      <c r="J37" s="298">
        <f t="shared" si="3"/>
        <v>0</v>
      </c>
      <c r="K37" s="298">
        <v>0</v>
      </c>
      <c r="L37" s="299">
        <f t="shared" si="4"/>
        <v>0</v>
      </c>
      <c r="M37" s="299"/>
      <c r="N37" s="304"/>
      <c r="O37" s="304"/>
      <c r="P37" s="304"/>
      <c r="Q37" s="119"/>
      <c r="R37" s="305">
        <v>0</v>
      </c>
      <c r="S37" s="1"/>
    </row>
    <row r="38" spans="1:19" x14ac:dyDescent="0.25">
      <c r="A38" s="79"/>
      <c r="B38" s="283"/>
      <c r="C38" s="284" t="s">
        <v>77</v>
      </c>
      <c r="D38" s="285">
        <f>SUM(D20:D37)</f>
        <v>10426247.660686901</v>
      </c>
      <c r="E38" s="285">
        <f>SUM(E20:E37)</f>
        <v>4330399.0744350003</v>
      </c>
      <c r="F38" s="286">
        <f>SUM(F20:F37)</f>
        <v>14756646.735121891</v>
      </c>
      <c r="G38" s="287">
        <f>SUM(G8:G37)</f>
        <v>0.99999999999999989</v>
      </c>
      <c r="H38" s="147"/>
      <c r="I38" s="147"/>
      <c r="J38" s="300">
        <f>SUM(J20:J37)</f>
        <v>19016017.356129542</v>
      </c>
      <c r="K38" s="301">
        <f>SUM(K20:K37)</f>
        <v>0</v>
      </c>
      <c r="L38" s="302">
        <f>SUM(L20:L37)</f>
        <v>19016017.356129542</v>
      </c>
      <c r="M38" s="303">
        <f>SUM(M20:M37)</f>
        <v>0</v>
      </c>
      <c r="N38" s="304"/>
      <c r="O38" s="304"/>
      <c r="P38" s="304"/>
      <c r="Q38" s="119"/>
      <c r="R38" s="300">
        <f>SUM(R20:R37)</f>
        <v>0</v>
      </c>
      <c r="S38" s="1"/>
    </row>
    <row r="39" spans="1:19" x14ac:dyDescent="0.25">
      <c r="A39" s="79"/>
      <c r="B39" s="283"/>
      <c r="C39" s="284" t="s">
        <v>78</v>
      </c>
      <c r="D39" s="288">
        <v>0</v>
      </c>
      <c r="E39" s="285">
        <f>E38*G39</f>
        <v>289184.05019076937</v>
      </c>
      <c r="F39" s="289">
        <f>D39+E39</f>
        <v>289184.05019076937</v>
      </c>
      <c r="G39" s="290">
        <f>'BASE BID'!D5</f>
        <v>6.6780000000000006E-2</v>
      </c>
      <c r="H39" s="147"/>
      <c r="I39" s="147"/>
      <c r="J39" s="119"/>
      <c r="K39" s="119"/>
      <c r="L39" s="119"/>
      <c r="M39" s="119"/>
      <c r="N39" s="119"/>
      <c r="O39" s="119"/>
      <c r="P39" s="119"/>
      <c r="Q39" s="81"/>
      <c r="R39" s="1"/>
      <c r="S39" s="1"/>
    </row>
    <row r="40" spans="1:19" x14ac:dyDescent="0.25">
      <c r="A40" s="79"/>
      <c r="B40" s="283"/>
      <c r="C40" s="284" t="s">
        <v>79</v>
      </c>
      <c r="D40" s="288">
        <v>0</v>
      </c>
      <c r="E40" s="285">
        <f>E38*G40</f>
        <v>1082599.7686087501</v>
      </c>
      <c r="F40" s="289">
        <f>D40+E40</f>
        <v>1082599.7686087501</v>
      </c>
      <c r="G40" s="290">
        <f>'BASE BID'!D6</f>
        <v>0.25</v>
      </c>
      <c r="H40" s="147"/>
      <c r="I40" s="147"/>
      <c r="J40" s="119"/>
      <c r="K40" s="119"/>
      <c r="L40" s="119"/>
      <c r="M40" s="119"/>
      <c r="N40" s="119"/>
      <c r="O40" s="119"/>
      <c r="P40" s="119"/>
      <c r="Q40" s="81"/>
      <c r="R40" s="1"/>
      <c r="S40" s="1"/>
    </row>
    <row r="41" spans="1:19" x14ac:dyDescent="0.25">
      <c r="A41" s="79"/>
      <c r="B41" s="283"/>
      <c r="C41" s="284" t="s">
        <v>80</v>
      </c>
      <c r="D41" s="288">
        <f>D38*G41</f>
        <v>2606561.9151717252</v>
      </c>
      <c r="E41" s="285">
        <v>0</v>
      </c>
      <c r="F41" s="289">
        <f>D41+E41</f>
        <v>2606561.9151717252</v>
      </c>
      <c r="G41" s="290">
        <f>'BASE BID'!D7</f>
        <v>0.25</v>
      </c>
      <c r="H41" s="147"/>
      <c r="I41" s="147"/>
      <c r="J41" s="119"/>
      <c r="K41" s="119"/>
      <c r="L41" s="119"/>
      <c r="M41" s="119"/>
      <c r="N41" s="119"/>
      <c r="O41" s="119"/>
      <c r="P41" s="119"/>
      <c r="Q41" s="81"/>
      <c r="R41" s="1"/>
      <c r="S41" s="1"/>
    </row>
    <row r="42" spans="1:19" x14ac:dyDescent="0.25">
      <c r="A42" s="79"/>
      <c r="B42" s="283"/>
      <c r="C42" s="284" t="s">
        <v>12</v>
      </c>
      <c r="D42" s="288"/>
      <c r="E42" s="289"/>
      <c r="F42" s="289">
        <f>SUM(F38:F41)*G42</f>
        <v>281024.88703639706</v>
      </c>
      <c r="G42" s="290">
        <f>'BASE BID'!D8</f>
        <v>1.4999999999999999E-2</v>
      </c>
      <c r="H42" s="147"/>
      <c r="I42" s="147"/>
      <c r="J42" s="119"/>
      <c r="K42" s="119"/>
      <c r="L42" s="119"/>
      <c r="M42" s="119"/>
      <c r="N42" s="119"/>
      <c r="O42" s="119"/>
      <c r="P42" s="119"/>
      <c r="Q42" s="81"/>
      <c r="R42" s="1"/>
      <c r="S42" s="1"/>
    </row>
    <row r="43" spans="1:19" x14ac:dyDescent="0.25">
      <c r="A43" s="79"/>
      <c r="B43" s="291"/>
      <c r="C43" s="292" t="s">
        <v>81</v>
      </c>
      <c r="D43" s="293"/>
      <c r="E43" s="294"/>
      <c r="F43" s="294">
        <f>F38+F39+F40+F41+F42</f>
        <v>19016017.356129535</v>
      </c>
      <c r="G43" s="295"/>
      <c r="H43" s="147"/>
      <c r="I43" s="147"/>
      <c r="J43" s="119"/>
      <c r="K43" s="119"/>
      <c r="L43" s="119"/>
      <c r="M43" s="119"/>
      <c r="N43" s="119"/>
      <c r="O43" s="119"/>
      <c r="P43" s="119"/>
      <c r="Q43" s="81"/>
      <c r="R43" s="1"/>
      <c r="S43" s="1"/>
    </row>
    <row r="44" spans="1:19" x14ac:dyDescent="0.25">
      <c r="A44" s="90"/>
      <c r="B44" s="147"/>
      <c r="C44" s="147"/>
      <c r="D44" s="253"/>
      <c r="E44" s="147"/>
      <c r="F44" s="121"/>
      <c r="G44" s="121"/>
      <c r="H44" s="147"/>
      <c r="I44" s="147"/>
      <c r="J44" s="119"/>
      <c r="K44" s="119"/>
      <c r="L44" s="119"/>
      <c r="M44" s="119"/>
      <c r="N44" s="119"/>
      <c r="O44" s="119"/>
      <c r="P44" s="119"/>
      <c r="Q44" s="81"/>
      <c r="R44" s="1"/>
      <c r="S44" s="1"/>
    </row>
    <row r="45" spans="1:19" ht="30" customHeight="1" x14ac:dyDescent="0.25">
      <c r="A45" s="79"/>
      <c r="B45" s="147"/>
      <c r="C45" s="147"/>
      <c r="D45" s="253"/>
      <c r="E45" s="147"/>
      <c r="F45" s="121"/>
      <c r="G45" s="121"/>
      <c r="H45" s="147"/>
      <c r="I45" s="147"/>
      <c r="J45" s="359" t="s">
        <v>28</v>
      </c>
      <c r="K45" s="359"/>
      <c r="L45" s="359"/>
      <c r="M45" s="119"/>
      <c r="N45" s="119"/>
      <c r="O45" s="119"/>
      <c r="P45" s="119"/>
      <c r="Q45" s="81"/>
      <c r="R45" s="1"/>
      <c r="S45" s="1"/>
    </row>
    <row r="46" spans="1:19" ht="30" customHeight="1" x14ac:dyDescent="0.25">
      <c r="A46" s="79"/>
      <c r="B46" s="147"/>
      <c r="C46" s="147"/>
      <c r="D46" s="253"/>
      <c r="E46" s="147"/>
      <c r="F46" s="121"/>
      <c r="G46" s="121"/>
      <c r="H46" s="147"/>
      <c r="I46" s="147"/>
      <c r="J46" s="359"/>
      <c r="K46" s="359"/>
      <c r="L46" s="359"/>
      <c r="M46" s="119"/>
      <c r="N46" s="119"/>
      <c r="O46" s="119"/>
      <c r="P46" s="119"/>
      <c r="Q46" s="81"/>
      <c r="R46" s="1"/>
      <c r="S46" s="1"/>
    </row>
    <row r="47" spans="1:19" ht="24" customHeight="1" x14ac:dyDescent="0.25">
      <c r="A47" s="79"/>
      <c r="B47" s="378" t="s">
        <v>82</v>
      </c>
      <c r="C47" s="378"/>
      <c r="D47" s="378"/>
      <c r="E47" s="378"/>
      <c r="F47" s="378"/>
      <c r="G47" s="378"/>
      <c r="H47" s="147"/>
      <c r="I47" s="147"/>
      <c r="J47" s="360" t="s">
        <v>30</v>
      </c>
      <c r="K47" s="360"/>
      <c r="L47" s="360"/>
      <c r="M47" s="377" t="s">
        <v>31</v>
      </c>
      <c r="N47" s="119"/>
      <c r="O47" s="119"/>
      <c r="P47" s="119"/>
      <c r="Q47" s="81"/>
      <c r="R47" s="1"/>
      <c r="S47" s="1"/>
    </row>
    <row r="48" spans="1:19" ht="23.25" customHeight="1" x14ac:dyDescent="0.25">
      <c r="A48" s="79"/>
      <c r="B48" s="378"/>
      <c r="C48" s="378"/>
      <c r="D48" s="378"/>
      <c r="E48" s="378"/>
      <c r="F48" s="378"/>
      <c r="G48" s="378"/>
      <c r="H48" s="147"/>
      <c r="I48" s="147"/>
      <c r="J48" s="360"/>
      <c r="K48" s="360"/>
      <c r="L48" s="360"/>
      <c r="M48" s="377"/>
      <c r="N48" s="119"/>
      <c r="O48" s="119"/>
      <c r="P48" s="119"/>
      <c r="Q48" s="119"/>
      <c r="R48" s="375" t="s">
        <v>32</v>
      </c>
      <c r="S48" s="1"/>
    </row>
    <row r="49" spans="1:19" ht="46.8" x14ac:dyDescent="0.25">
      <c r="A49" s="79"/>
      <c r="B49" s="380" t="s">
        <v>83</v>
      </c>
      <c r="C49" s="380"/>
      <c r="D49" s="306" t="s">
        <v>35</v>
      </c>
      <c r="E49" s="307" t="s">
        <v>36</v>
      </c>
      <c r="F49" s="306" t="s">
        <v>37</v>
      </c>
      <c r="G49" s="308" t="s">
        <v>38</v>
      </c>
      <c r="H49" s="273"/>
      <c r="I49" s="273"/>
      <c r="J49" s="296" t="s">
        <v>84</v>
      </c>
      <c r="K49" s="297" t="s">
        <v>40</v>
      </c>
      <c r="L49" s="297" t="s">
        <v>41</v>
      </c>
      <c r="M49" s="297" t="s">
        <v>42</v>
      </c>
      <c r="N49" s="376" t="s">
        <v>43</v>
      </c>
      <c r="O49" s="376"/>
      <c r="P49" s="376"/>
      <c r="Q49" s="119"/>
      <c r="R49" s="375"/>
      <c r="S49" s="1"/>
    </row>
    <row r="50" spans="1:19" ht="16.350000000000001" customHeight="1" x14ac:dyDescent="0.25">
      <c r="A50" s="79"/>
      <c r="B50" s="381" t="s">
        <v>45</v>
      </c>
      <c r="C50" s="381"/>
      <c r="D50" s="71">
        <f>SUMIF('BASE BID'!E:E, B50, 'BASE BID'!N:N)</f>
        <v>2430165.7301334674</v>
      </c>
      <c r="E50" s="71">
        <f>SUMIF('BASE BID'!E:E, B50, 'BASE BID'!P:P)</f>
        <v>0</v>
      </c>
      <c r="F50" s="309">
        <f>SUMIF('BASE BID'!E:E, B50, 'BASE BID'!Q:Q)</f>
        <v>2430165.7301334674</v>
      </c>
      <c r="G50" s="282">
        <f t="shared" ref="G50:G83" si="5">F50/F$38</f>
        <v>0.16468278828885266</v>
      </c>
      <c r="H50" s="147"/>
      <c r="I50" s="147"/>
      <c r="J50" s="298">
        <f t="shared" ref="J50:J83" si="6">((D50*(1+$G$87))+(E50*(1+$G$86+$G$85)))*(1+$G$88)</f>
        <v>3083272.7701068362</v>
      </c>
      <c r="K50" s="310">
        <f t="shared" ref="K50:K51" si="7">IF(R50="",J50,R50*(1+L$11))</f>
        <v>0</v>
      </c>
      <c r="L50" s="299">
        <f>J50-K50</f>
        <v>3083272.7701068362</v>
      </c>
      <c r="M50" s="299"/>
      <c r="N50" s="304"/>
      <c r="O50" s="304"/>
      <c r="P50" s="304"/>
      <c r="Q50" s="119"/>
      <c r="R50" s="305">
        <v>0</v>
      </c>
      <c r="S50" s="1"/>
    </row>
    <row r="51" spans="1:19" ht="15" customHeight="1" x14ac:dyDescent="0.3">
      <c r="A51" s="79"/>
      <c r="B51" s="382" t="s">
        <v>85</v>
      </c>
      <c r="C51" s="382"/>
      <c r="D51" s="71">
        <f>SUMIF('BASE BID'!E:E, B51, 'BASE BID'!N:N)</f>
        <v>0</v>
      </c>
      <c r="E51" s="71">
        <f>SUMIF('BASE BID'!E:E, B51, 'BASE BID'!P:P)</f>
        <v>0</v>
      </c>
      <c r="F51" s="309">
        <f>SUMIF('BASE BID'!E:E, B51, 'BASE BID'!Q:Q)</f>
        <v>0</v>
      </c>
      <c r="G51" s="282">
        <f t="shared" si="5"/>
        <v>0</v>
      </c>
      <c r="H51" s="147"/>
      <c r="I51" s="147"/>
      <c r="J51" s="298">
        <f t="shared" si="6"/>
        <v>0</v>
      </c>
      <c r="K51" s="298">
        <f t="shared" si="7"/>
        <v>0</v>
      </c>
      <c r="L51" s="299">
        <f t="shared" ref="L51" si="8">J51-K51</f>
        <v>0</v>
      </c>
      <c r="M51" s="299"/>
      <c r="N51" s="304"/>
      <c r="O51" s="304"/>
      <c r="P51" s="304"/>
      <c r="Q51" s="119"/>
      <c r="R51" s="305">
        <v>0</v>
      </c>
      <c r="S51" s="1"/>
    </row>
    <row r="52" spans="1:19" ht="15" customHeight="1" x14ac:dyDescent="0.3">
      <c r="A52" s="79"/>
      <c r="B52" s="382" t="s">
        <v>98</v>
      </c>
      <c r="C52" s="382"/>
      <c r="D52" s="71">
        <f>SUMIF('BASE BID'!E:E, B52, 'BASE BID'!N:N)</f>
        <v>0</v>
      </c>
      <c r="E52" s="71">
        <f>SUMIF('BASE BID'!E:E, B52, 'BASE BID'!P:P)</f>
        <v>0</v>
      </c>
      <c r="F52" s="309">
        <f>SUMIF('BASE BID'!E:E, B52, 'BASE BID'!Q:Q)</f>
        <v>0</v>
      </c>
      <c r="G52" s="282">
        <f t="shared" si="5"/>
        <v>0</v>
      </c>
      <c r="H52" s="147"/>
      <c r="I52" s="147"/>
      <c r="J52" s="298">
        <f t="shared" si="6"/>
        <v>0</v>
      </c>
      <c r="K52" s="298">
        <f t="shared" ref="K52:K76" si="9">IF(R52="",J52,R52*(1+L$11))</f>
        <v>0</v>
      </c>
      <c r="L52" s="299">
        <f t="shared" ref="L52:L76" si="10">J52-K52</f>
        <v>0</v>
      </c>
      <c r="M52" s="299"/>
      <c r="N52" s="304"/>
      <c r="O52" s="304"/>
      <c r="P52" s="304"/>
      <c r="Q52" s="119"/>
      <c r="R52" s="305">
        <v>0</v>
      </c>
      <c r="S52" s="1"/>
    </row>
    <row r="53" spans="1:19" ht="15" customHeight="1" x14ac:dyDescent="0.3">
      <c r="A53" s="79"/>
      <c r="B53" s="382" t="s">
        <v>99</v>
      </c>
      <c r="C53" s="382"/>
      <c r="D53" s="71">
        <f>SUMIF('BASE BID'!E:E, B53, 'BASE BID'!N:N)</f>
        <v>0</v>
      </c>
      <c r="E53" s="71">
        <f>SUMIF('BASE BID'!E:E, B53, 'BASE BID'!P:P)</f>
        <v>0</v>
      </c>
      <c r="F53" s="309">
        <f>SUMIF('BASE BID'!E:E, B53, 'BASE BID'!Q:Q)</f>
        <v>0</v>
      </c>
      <c r="G53" s="282">
        <f t="shared" si="5"/>
        <v>0</v>
      </c>
      <c r="H53" s="147"/>
      <c r="I53" s="147"/>
      <c r="J53" s="298">
        <f t="shared" si="6"/>
        <v>0</v>
      </c>
      <c r="K53" s="298">
        <f t="shared" si="9"/>
        <v>0</v>
      </c>
      <c r="L53" s="299">
        <f t="shared" si="10"/>
        <v>0</v>
      </c>
      <c r="M53" s="299"/>
      <c r="N53" s="304"/>
      <c r="O53" s="304"/>
      <c r="P53" s="304"/>
      <c r="Q53" s="119"/>
      <c r="R53" s="305">
        <v>0</v>
      </c>
      <c r="S53" s="1"/>
    </row>
    <row r="54" spans="1:19" ht="15" customHeight="1" x14ac:dyDescent="0.3">
      <c r="A54" s="79"/>
      <c r="B54" s="382" t="s">
        <v>100</v>
      </c>
      <c r="C54" s="382"/>
      <c r="D54" s="71">
        <f>SUMIF('BASE BID'!E:E, B54, 'BASE BID'!N:N)</f>
        <v>0</v>
      </c>
      <c r="E54" s="71">
        <f>SUMIF('BASE BID'!E:E, B54, 'BASE BID'!P:P)</f>
        <v>0</v>
      </c>
      <c r="F54" s="309">
        <f>SUMIF('BASE BID'!E:E, B54, 'BASE BID'!Q:Q)</f>
        <v>0</v>
      </c>
      <c r="G54" s="282">
        <f t="shared" si="5"/>
        <v>0</v>
      </c>
      <c r="H54" s="147"/>
      <c r="I54" s="147"/>
      <c r="J54" s="298">
        <f t="shared" si="6"/>
        <v>0</v>
      </c>
      <c r="K54" s="298">
        <f t="shared" si="9"/>
        <v>0</v>
      </c>
      <c r="L54" s="299">
        <f t="shared" si="10"/>
        <v>0</v>
      </c>
      <c r="M54" s="299"/>
      <c r="N54" s="304"/>
      <c r="O54" s="304"/>
      <c r="P54" s="304"/>
      <c r="Q54" s="119"/>
      <c r="R54" s="305">
        <v>0</v>
      </c>
      <c r="S54" s="1"/>
    </row>
    <row r="55" spans="1:19" ht="15" customHeight="1" x14ac:dyDescent="0.3">
      <c r="A55" s="79"/>
      <c r="B55" s="382" t="s">
        <v>104</v>
      </c>
      <c r="C55" s="382"/>
      <c r="D55" s="71">
        <f>SUMIF('BASE BID'!E:E, B55, 'BASE BID'!N:N)</f>
        <v>0</v>
      </c>
      <c r="E55" s="71">
        <f>SUMIF('BASE BID'!E:E, B55, 'BASE BID'!P:P)</f>
        <v>0</v>
      </c>
      <c r="F55" s="309">
        <f>SUMIF('BASE BID'!E:E, B55, 'BASE BID'!Q:Q)</f>
        <v>0</v>
      </c>
      <c r="G55" s="282">
        <f t="shared" si="5"/>
        <v>0</v>
      </c>
      <c r="H55" s="147"/>
      <c r="I55" s="147"/>
      <c r="J55" s="298">
        <f t="shared" si="6"/>
        <v>0</v>
      </c>
      <c r="K55" s="298">
        <f t="shared" si="9"/>
        <v>0</v>
      </c>
      <c r="L55" s="299">
        <f t="shared" si="10"/>
        <v>0</v>
      </c>
      <c r="M55" s="299"/>
      <c r="N55" s="304"/>
      <c r="O55" s="304"/>
      <c r="P55" s="304"/>
      <c r="Q55" s="119"/>
      <c r="R55" s="305">
        <v>0</v>
      </c>
      <c r="S55" s="1"/>
    </row>
    <row r="56" spans="1:19" ht="15" customHeight="1" x14ac:dyDescent="0.3">
      <c r="A56" s="79"/>
      <c r="B56" s="382" t="s">
        <v>105</v>
      </c>
      <c r="C56" s="382"/>
      <c r="D56" s="71">
        <f>SUMIF('BASE BID'!E:E, B56, 'BASE BID'!N:N)</f>
        <v>0</v>
      </c>
      <c r="E56" s="71">
        <f>SUMIF('BASE BID'!E:E, B56, 'BASE BID'!P:P)</f>
        <v>0</v>
      </c>
      <c r="F56" s="309">
        <f>SUMIF('BASE BID'!E:E, B56, 'BASE BID'!Q:Q)</f>
        <v>0</v>
      </c>
      <c r="G56" s="282">
        <f t="shared" si="5"/>
        <v>0</v>
      </c>
      <c r="H56" s="147"/>
      <c r="I56" s="147"/>
      <c r="J56" s="298">
        <f t="shared" si="6"/>
        <v>0</v>
      </c>
      <c r="K56" s="298">
        <f t="shared" si="9"/>
        <v>0</v>
      </c>
      <c r="L56" s="299">
        <f t="shared" si="10"/>
        <v>0</v>
      </c>
      <c r="M56" s="299"/>
      <c r="N56" s="304"/>
      <c r="O56" s="304"/>
      <c r="P56" s="304"/>
      <c r="Q56" s="119"/>
      <c r="R56" s="305">
        <v>0</v>
      </c>
      <c r="S56" s="1"/>
    </row>
    <row r="57" spans="1:19" ht="15" customHeight="1" x14ac:dyDescent="0.3">
      <c r="A57" s="79"/>
      <c r="B57" s="382" t="s">
        <v>106</v>
      </c>
      <c r="C57" s="382"/>
      <c r="D57" s="71">
        <f>SUMIF('BASE BID'!E:E, B57, 'BASE BID'!N:N)</f>
        <v>0</v>
      </c>
      <c r="E57" s="71">
        <f>SUMIF('BASE BID'!E:E, B57, 'BASE BID'!P:P)</f>
        <v>0</v>
      </c>
      <c r="F57" s="309">
        <f>SUMIF('BASE BID'!E:E, B57, 'BASE BID'!Q:Q)</f>
        <v>0</v>
      </c>
      <c r="G57" s="282">
        <f t="shared" si="5"/>
        <v>0</v>
      </c>
      <c r="H57" s="147"/>
      <c r="I57" s="147"/>
      <c r="J57" s="298">
        <f t="shared" si="6"/>
        <v>0</v>
      </c>
      <c r="K57" s="298">
        <f t="shared" si="9"/>
        <v>0</v>
      </c>
      <c r="L57" s="299">
        <f t="shared" si="10"/>
        <v>0</v>
      </c>
      <c r="M57" s="299"/>
      <c r="N57" s="304"/>
      <c r="O57" s="304"/>
      <c r="P57" s="304"/>
      <c r="Q57" s="119"/>
      <c r="R57" s="305">
        <v>0</v>
      </c>
      <c r="S57" s="1"/>
    </row>
    <row r="58" spans="1:19" ht="15" customHeight="1" x14ac:dyDescent="0.3">
      <c r="A58" s="79"/>
      <c r="B58" s="382" t="s">
        <v>107</v>
      </c>
      <c r="C58" s="382"/>
      <c r="D58" s="71">
        <f>SUMIF('BASE BID'!E:E, B58, 'BASE BID'!N:N)</f>
        <v>0</v>
      </c>
      <c r="E58" s="71">
        <f>SUMIF('BASE BID'!E:E, B58, 'BASE BID'!P:P)</f>
        <v>0</v>
      </c>
      <c r="F58" s="309">
        <f>SUMIF('BASE BID'!E:E, B58, 'BASE BID'!Q:Q)</f>
        <v>0</v>
      </c>
      <c r="G58" s="282">
        <f t="shared" si="5"/>
        <v>0</v>
      </c>
      <c r="H58" s="147"/>
      <c r="I58" s="147"/>
      <c r="J58" s="298">
        <f t="shared" si="6"/>
        <v>0</v>
      </c>
      <c r="K58" s="298">
        <f t="shared" si="9"/>
        <v>0</v>
      </c>
      <c r="L58" s="299">
        <f t="shared" si="10"/>
        <v>0</v>
      </c>
      <c r="M58" s="299"/>
      <c r="N58" s="304"/>
      <c r="O58" s="304"/>
      <c r="P58" s="304"/>
      <c r="Q58" s="119"/>
      <c r="R58" s="305">
        <v>0</v>
      </c>
      <c r="S58" s="1"/>
    </row>
    <row r="59" spans="1:19" ht="15" customHeight="1" x14ac:dyDescent="0.3">
      <c r="A59" s="79"/>
      <c r="B59" s="382" t="s">
        <v>108</v>
      </c>
      <c r="C59" s="382"/>
      <c r="D59" s="71">
        <f>SUMIF('BASE BID'!E:E, B59, 'BASE BID'!N:N)</f>
        <v>0</v>
      </c>
      <c r="E59" s="71">
        <f>SUMIF('BASE BID'!E:E, B59, 'BASE BID'!P:P)</f>
        <v>0</v>
      </c>
      <c r="F59" s="309">
        <f>SUMIF('BASE BID'!E:E, B59, 'BASE BID'!Q:Q)</f>
        <v>0</v>
      </c>
      <c r="G59" s="282">
        <f t="shared" si="5"/>
        <v>0</v>
      </c>
      <c r="H59" s="147"/>
      <c r="I59" s="147"/>
      <c r="J59" s="298">
        <f t="shared" si="6"/>
        <v>0</v>
      </c>
      <c r="K59" s="298">
        <f t="shared" si="9"/>
        <v>0</v>
      </c>
      <c r="L59" s="299">
        <f t="shared" si="10"/>
        <v>0</v>
      </c>
      <c r="M59" s="299"/>
      <c r="N59" s="304"/>
      <c r="O59" s="304"/>
      <c r="P59" s="304"/>
      <c r="Q59" s="119"/>
      <c r="R59" s="305">
        <v>0</v>
      </c>
      <c r="S59" s="1"/>
    </row>
    <row r="60" spans="1:19" ht="15" customHeight="1" x14ac:dyDescent="0.3">
      <c r="A60" s="79"/>
      <c r="B60" s="382" t="s">
        <v>109</v>
      </c>
      <c r="C60" s="382"/>
      <c r="D60" s="71">
        <f>SUMIF('BASE BID'!E:E, B60, 'BASE BID'!N:N)</f>
        <v>0</v>
      </c>
      <c r="E60" s="71">
        <f>SUMIF('BASE BID'!E:E, B60, 'BASE BID'!P:P)</f>
        <v>0</v>
      </c>
      <c r="F60" s="309">
        <f>SUMIF('BASE BID'!E:E, B60, 'BASE BID'!Q:Q)</f>
        <v>0</v>
      </c>
      <c r="G60" s="282">
        <f t="shared" si="5"/>
        <v>0</v>
      </c>
      <c r="H60" s="147"/>
      <c r="I60" s="147"/>
      <c r="J60" s="298">
        <f t="shared" si="6"/>
        <v>0</v>
      </c>
      <c r="K60" s="298">
        <f t="shared" si="9"/>
        <v>0</v>
      </c>
      <c r="L60" s="299">
        <f t="shared" si="10"/>
        <v>0</v>
      </c>
      <c r="M60" s="299"/>
      <c r="N60" s="304"/>
      <c r="O60" s="304"/>
      <c r="P60" s="304"/>
      <c r="Q60" s="119"/>
      <c r="R60" s="305">
        <v>0</v>
      </c>
      <c r="S60" s="1"/>
    </row>
    <row r="61" spans="1:19" ht="15" customHeight="1" x14ac:dyDescent="0.3">
      <c r="A61" s="79"/>
      <c r="B61" s="382" t="s">
        <v>111</v>
      </c>
      <c r="C61" s="382"/>
      <c r="D61" s="71">
        <f>SUMIF('BASE BID'!E:E, B61, 'BASE BID'!N:N)</f>
        <v>0</v>
      </c>
      <c r="E61" s="71">
        <f>SUMIF('BASE BID'!E:E, B61, 'BASE BID'!P:P)</f>
        <v>0</v>
      </c>
      <c r="F61" s="309">
        <f>SUMIF('BASE BID'!E:E, B61, 'BASE BID'!Q:Q)</f>
        <v>0</v>
      </c>
      <c r="G61" s="282">
        <f t="shared" si="5"/>
        <v>0</v>
      </c>
      <c r="H61" s="147"/>
      <c r="I61" s="147"/>
      <c r="J61" s="298">
        <f t="shared" si="6"/>
        <v>0</v>
      </c>
      <c r="K61" s="298">
        <f t="shared" si="9"/>
        <v>0</v>
      </c>
      <c r="L61" s="299">
        <f t="shared" si="10"/>
        <v>0</v>
      </c>
      <c r="M61" s="299"/>
      <c r="N61" s="304"/>
      <c r="O61" s="304"/>
      <c r="P61" s="304"/>
      <c r="Q61" s="119"/>
      <c r="R61" s="305">
        <v>0</v>
      </c>
      <c r="S61" s="1"/>
    </row>
    <row r="62" spans="1:19" ht="15" customHeight="1" x14ac:dyDescent="0.3">
      <c r="A62" s="79"/>
      <c r="B62" s="382" t="s">
        <v>112</v>
      </c>
      <c r="C62" s="382"/>
      <c r="D62" s="71">
        <f>SUMIF('BASE BID'!E:E, B62, 'BASE BID'!N:N)</f>
        <v>0</v>
      </c>
      <c r="E62" s="71">
        <f>SUMIF('BASE BID'!E:E, B62, 'BASE BID'!P:P)</f>
        <v>0</v>
      </c>
      <c r="F62" s="309">
        <f>SUMIF('BASE BID'!E:E, B62, 'BASE BID'!Q:Q)</f>
        <v>0</v>
      </c>
      <c r="G62" s="282">
        <f t="shared" si="5"/>
        <v>0</v>
      </c>
      <c r="H62" s="147"/>
      <c r="I62" s="147"/>
      <c r="J62" s="298">
        <f t="shared" si="6"/>
        <v>0</v>
      </c>
      <c r="K62" s="298">
        <f t="shared" si="9"/>
        <v>0</v>
      </c>
      <c r="L62" s="299">
        <f t="shared" si="10"/>
        <v>0</v>
      </c>
      <c r="M62" s="299"/>
      <c r="N62" s="304"/>
      <c r="O62" s="304"/>
      <c r="P62" s="304"/>
      <c r="Q62" s="119"/>
      <c r="R62" s="305">
        <v>0</v>
      </c>
      <c r="S62" s="1"/>
    </row>
    <row r="63" spans="1:19" ht="15" customHeight="1" x14ac:dyDescent="0.3">
      <c r="A63" s="79"/>
      <c r="B63" s="382" t="s">
        <v>115</v>
      </c>
      <c r="C63" s="382"/>
      <c r="D63" s="71">
        <f>SUMIF('BASE BID'!E:E, B63, 'BASE BID'!N:N)</f>
        <v>0</v>
      </c>
      <c r="E63" s="71">
        <f>SUMIF('BASE BID'!E:E, B63, 'BASE BID'!P:P)</f>
        <v>0</v>
      </c>
      <c r="F63" s="309">
        <f>SUMIF('BASE BID'!E:E, B63, 'BASE BID'!Q:Q)</f>
        <v>0</v>
      </c>
      <c r="G63" s="282">
        <f t="shared" si="5"/>
        <v>0</v>
      </c>
      <c r="H63" s="147"/>
      <c r="I63" s="147"/>
      <c r="J63" s="298">
        <f t="shared" si="6"/>
        <v>0</v>
      </c>
      <c r="K63" s="298">
        <f t="shared" si="9"/>
        <v>0</v>
      </c>
      <c r="L63" s="299">
        <f t="shared" si="10"/>
        <v>0</v>
      </c>
      <c r="M63" s="299"/>
      <c r="N63" s="304"/>
      <c r="O63" s="304"/>
      <c r="P63" s="304"/>
      <c r="Q63" s="119"/>
      <c r="R63" s="305">
        <v>0</v>
      </c>
      <c r="S63" s="1"/>
    </row>
    <row r="64" spans="1:19" ht="15" customHeight="1" x14ac:dyDescent="0.3">
      <c r="A64" s="79"/>
      <c r="B64" s="382" t="s">
        <v>118</v>
      </c>
      <c r="C64" s="382"/>
      <c r="D64" s="71">
        <f>SUMIF('BASE BID'!E:E, B64, 'BASE BID'!N:N)</f>
        <v>0</v>
      </c>
      <c r="E64" s="71">
        <f>SUMIF('BASE BID'!E:E, B64, 'BASE BID'!P:P)</f>
        <v>0</v>
      </c>
      <c r="F64" s="309">
        <f>SUMIF('BASE BID'!E:E, B64, 'BASE BID'!Q:Q)</f>
        <v>0</v>
      </c>
      <c r="G64" s="282">
        <f t="shared" si="5"/>
        <v>0</v>
      </c>
      <c r="H64" s="147"/>
      <c r="I64" s="147"/>
      <c r="J64" s="298">
        <f t="shared" si="6"/>
        <v>0</v>
      </c>
      <c r="K64" s="298">
        <f t="shared" si="9"/>
        <v>0</v>
      </c>
      <c r="L64" s="299">
        <f t="shared" si="10"/>
        <v>0</v>
      </c>
      <c r="M64" s="299"/>
      <c r="N64" s="304"/>
      <c r="O64" s="304"/>
      <c r="P64" s="304"/>
      <c r="Q64" s="119"/>
      <c r="R64" s="305">
        <v>0</v>
      </c>
      <c r="S64" s="1"/>
    </row>
    <row r="65" spans="1:19" ht="15" customHeight="1" x14ac:dyDescent="0.3">
      <c r="A65" s="79"/>
      <c r="B65" s="382" t="s">
        <v>67</v>
      </c>
      <c r="C65" s="382"/>
      <c r="D65" s="71">
        <f>SUMIF('BASE BID'!E:E, B65, 'BASE BID'!N:N)</f>
        <v>0</v>
      </c>
      <c r="E65" s="71">
        <f>SUMIF('BASE BID'!E:E, B65, 'BASE BID'!P:P)</f>
        <v>0</v>
      </c>
      <c r="F65" s="309">
        <f>SUMIF('BASE BID'!E:E, B65, 'BASE BID'!Q:Q)</f>
        <v>0</v>
      </c>
      <c r="G65" s="282">
        <f t="shared" si="5"/>
        <v>0</v>
      </c>
      <c r="H65" s="147"/>
      <c r="I65" s="147"/>
      <c r="J65" s="298">
        <f t="shared" si="6"/>
        <v>0</v>
      </c>
      <c r="K65" s="298">
        <f t="shared" si="9"/>
        <v>0</v>
      </c>
      <c r="L65" s="299">
        <f t="shared" si="10"/>
        <v>0</v>
      </c>
      <c r="M65" s="299"/>
      <c r="N65" s="304"/>
      <c r="O65" s="304"/>
      <c r="P65" s="304"/>
      <c r="Q65" s="119"/>
      <c r="R65" s="305">
        <v>0</v>
      </c>
      <c r="S65" s="1"/>
    </row>
    <row r="66" spans="1:19" ht="15" customHeight="1" x14ac:dyDescent="0.3">
      <c r="A66" s="79"/>
      <c r="B66" s="382" t="s">
        <v>121</v>
      </c>
      <c r="C66" s="382"/>
      <c r="D66" s="71">
        <f>SUMIF('BASE BID'!E:E, B66, 'BASE BID'!N:N)</f>
        <v>0</v>
      </c>
      <c r="E66" s="71">
        <f>SUMIF('BASE BID'!E:E, B66, 'BASE BID'!P:P)</f>
        <v>0</v>
      </c>
      <c r="F66" s="309">
        <f>SUMIF('BASE BID'!E:E, B66, 'BASE BID'!Q:Q)</f>
        <v>0</v>
      </c>
      <c r="G66" s="282">
        <f t="shared" si="5"/>
        <v>0</v>
      </c>
      <c r="H66" s="147"/>
      <c r="I66" s="147"/>
      <c r="J66" s="298">
        <f t="shared" si="6"/>
        <v>0</v>
      </c>
      <c r="K66" s="298">
        <f t="shared" si="9"/>
        <v>0</v>
      </c>
      <c r="L66" s="299">
        <f t="shared" si="10"/>
        <v>0</v>
      </c>
      <c r="M66" s="299"/>
      <c r="N66" s="304"/>
      <c r="O66" s="304"/>
      <c r="P66" s="304"/>
      <c r="Q66" s="119"/>
      <c r="R66" s="305">
        <v>0</v>
      </c>
      <c r="S66" s="1"/>
    </row>
    <row r="67" spans="1:19" ht="15" customHeight="1" x14ac:dyDescent="0.3">
      <c r="A67" s="79"/>
      <c r="B67" s="382" t="s">
        <v>124</v>
      </c>
      <c r="C67" s="382"/>
      <c r="D67" s="71">
        <f>SUMIF('BASE BID'!E:E, B67, 'BASE BID'!N:N)</f>
        <v>0</v>
      </c>
      <c r="E67" s="71">
        <f>SUMIF('BASE BID'!E:E, B67, 'BASE BID'!P:P)</f>
        <v>0</v>
      </c>
      <c r="F67" s="309">
        <f>SUMIF('BASE BID'!E:E, B67, 'BASE BID'!Q:Q)</f>
        <v>0</v>
      </c>
      <c r="G67" s="282">
        <f t="shared" si="5"/>
        <v>0</v>
      </c>
      <c r="H67" s="147"/>
      <c r="I67" s="147"/>
      <c r="J67" s="298">
        <f t="shared" si="6"/>
        <v>0</v>
      </c>
      <c r="K67" s="298">
        <f t="shared" si="9"/>
        <v>0</v>
      </c>
      <c r="L67" s="299">
        <f t="shared" si="10"/>
        <v>0</v>
      </c>
      <c r="M67" s="299"/>
      <c r="N67" s="304"/>
      <c r="O67" s="304"/>
      <c r="P67" s="304"/>
      <c r="Q67" s="119"/>
      <c r="R67" s="305">
        <v>0</v>
      </c>
      <c r="S67" s="1"/>
    </row>
    <row r="68" spans="1:19" ht="15" customHeight="1" x14ac:dyDescent="0.3">
      <c r="A68" s="79"/>
      <c r="B68" s="382" t="s">
        <v>130</v>
      </c>
      <c r="C68" s="382"/>
      <c r="D68" s="71">
        <f>SUMIF('BASE BID'!E:E, B68, 'BASE BID'!N:N)</f>
        <v>0</v>
      </c>
      <c r="E68" s="71">
        <f>SUMIF('BASE BID'!E:E, B68, 'BASE BID'!P:P)</f>
        <v>0</v>
      </c>
      <c r="F68" s="309">
        <f>SUMIF('BASE BID'!E:E, B68, 'BASE BID'!Q:Q)</f>
        <v>0</v>
      </c>
      <c r="G68" s="282">
        <f t="shared" si="5"/>
        <v>0</v>
      </c>
      <c r="H68" s="147"/>
      <c r="I68" s="147"/>
      <c r="J68" s="298">
        <f t="shared" si="6"/>
        <v>0</v>
      </c>
      <c r="K68" s="298">
        <f t="shared" si="9"/>
        <v>0</v>
      </c>
      <c r="L68" s="299">
        <f t="shared" si="10"/>
        <v>0</v>
      </c>
      <c r="M68" s="299"/>
      <c r="N68" s="304"/>
      <c r="O68" s="304"/>
      <c r="P68" s="304"/>
      <c r="Q68" s="119"/>
      <c r="R68" s="305">
        <v>0</v>
      </c>
      <c r="S68" s="1"/>
    </row>
    <row r="69" spans="1:19" ht="15" customHeight="1" x14ac:dyDescent="0.3">
      <c r="A69" s="79"/>
      <c r="B69" s="382" t="s">
        <v>131</v>
      </c>
      <c r="C69" s="382"/>
      <c r="D69" s="71">
        <f>SUMIF('BASE BID'!E:E, B69, 'BASE BID'!N:N)</f>
        <v>0</v>
      </c>
      <c r="E69" s="71">
        <f>SUMIF('BASE BID'!E:E, B69, 'BASE BID'!P:P)</f>
        <v>0</v>
      </c>
      <c r="F69" s="309">
        <f>SUMIF('BASE BID'!E:E, B69, 'BASE BID'!Q:Q)</f>
        <v>0</v>
      </c>
      <c r="G69" s="282">
        <f t="shared" si="5"/>
        <v>0</v>
      </c>
      <c r="H69" s="147"/>
      <c r="I69" s="147"/>
      <c r="J69" s="298">
        <f t="shared" si="6"/>
        <v>0</v>
      </c>
      <c r="K69" s="298">
        <f t="shared" si="9"/>
        <v>0</v>
      </c>
      <c r="L69" s="299">
        <f t="shared" si="10"/>
        <v>0</v>
      </c>
      <c r="M69" s="299"/>
      <c r="N69" s="304"/>
      <c r="O69" s="304"/>
      <c r="P69" s="304"/>
      <c r="Q69" s="119"/>
      <c r="R69" s="305">
        <v>0</v>
      </c>
      <c r="S69" s="1"/>
    </row>
    <row r="70" spans="1:19" ht="15" customHeight="1" x14ac:dyDescent="0.3">
      <c r="A70" s="79"/>
      <c r="B70" s="382" t="s">
        <v>134</v>
      </c>
      <c r="C70" s="382"/>
      <c r="D70" s="71">
        <f>SUMIF('BASE BID'!E:E, B70, 'BASE BID'!N:N)</f>
        <v>0</v>
      </c>
      <c r="E70" s="71">
        <f>SUMIF('BASE BID'!E:E, B70, 'BASE BID'!P:P)</f>
        <v>0</v>
      </c>
      <c r="F70" s="309">
        <f>SUMIF('BASE BID'!E:E, B70, 'BASE BID'!Q:Q)</f>
        <v>0</v>
      </c>
      <c r="G70" s="282">
        <f t="shared" si="5"/>
        <v>0</v>
      </c>
      <c r="H70" s="147"/>
      <c r="I70" s="147"/>
      <c r="J70" s="298">
        <f t="shared" si="6"/>
        <v>0</v>
      </c>
      <c r="K70" s="298">
        <f t="shared" si="9"/>
        <v>0</v>
      </c>
      <c r="L70" s="299">
        <f t="shared" si="10"/>
        <v>0</v>
      </c>
      <c r="M70" s="299"/>
      <c r="N70" s="304"/>
      <c r="O70" s="304"/>
      <c r="P70" s="304"/>
      <c r="Q70" s="119"/>
      <c r="R70" s="305">
        <v>0</v>
      </c>
      <c r="S70" s="1"/>
    </row>
    <row r="71" spans="1:19" ht="15" customHeight="1" x14ac:dyDescent="0.3">
      <c r="A71" s="79"/>
      <c r="B71" s="382" t="s">
        <v>135</v>
      </c>
      <c r="C71" s="382"/>
      <c r="D71" s="71">
        <f>SUMIF('BASE BID'!E:E, B71, 'BASE BID'!N:N)</f>
        <v>0</v>
      </c>
      <c r="E71" s="71">
        <f>SUMIF('BASE BID'!E:E, B71, 'BASE BID'!P:P)</f>
        <v>0</v>
      </c>
      <c r="F71" s="309">
        <f>SUMIF('BASE BID'!E:E, B71, 'BASE BID'!Q:Q)</f>
        <v>0</v>
      </c>
      <c r="G71" s="282">
        <f t="shared" si="5"/>
        <v>0</v>
      </c>
      <c r="H71" s="147"/>
      <c r="I71" s="147"/>
      <c r="J71" s="298">
        <f t="shared" si="6"/>
        <v>0</v>
      </c>
      <c r="K71" s="298">
        <f t="shared" si="9"/>
        <v>0</v>
      </c>
      <c r="L71" s="299">
        <f t="shared" si="10"/>
        <v>0</v>
      </c>
      <c r="M71" s="299"/>
      <c r="N71" s="304"/>
      <c r="O71" s="304"/>
      <c r="P71" s="304"/>
      <c r="Q71" s="119"/>
      <c r="R71" s="305">
        <v>0</v>
      </c>
      <c r="S71" s="1"/>
    </row>
    <row r="72" spans="1:19" ht="15" customHeight="1" x14ac:dyDescent="0.3">
      <c r="A72" s="79"/>
      <c r="B72" s="382" t="s">
        <v>140</v>
      </c>
      <c r="C72" s="382"/>
      <c r="D72" s="71">
        <f>SUMIF('BASE BID'!E:E, B72, 'BASE BID'!N:N)</f>
        <v>0</v>
      </c>
      <c r="E72" s="71">
        <f>SUMIF('BASE BID'!E:E, B72, 'BASE BID'!P:P)</f>
        <v>0</v>
      </c>
      <c r="F72" s="309">
        <f>SUMIF('BASE BID'!E:E, B72, 'BASE BID'!Q:Q)</f>
        <v>0</v>
      </c>
      <c r="G72" s="282">
        <f t="shared" si="5"/>
        <v>0</v>
      </c>
      <c r="H72" s="147"/>
      <c r="I72" s="147"/>
      <c r="J72" s="298">
        <f t="shared" si="6"/>
        <v>0</v>
      </c>
      <c r="K72" s="298">
        <f t="shared" si="9"/>
        <v>0</v>
      </c>
      <c r="L72" s="299">
        <f t="shared" si="10"/>
        <v>0</v>
      </c>
      <c r="M72" s="299"/>
      <c r="N72" s="304"/>
      <c r="O72" s="304"/>
      <c r="P72" s="304"/>
      <c r="Q72" s="119"/>
      <c r="R72" s="305">
        <v>0</v>
      </c>
      <c r="S72" s="1"/>
    </row>
    <row r="73" spans="1:19" ht="15" customHeight="1" x14ac:dyDescent="0.3">
      <c r="A73" s="79"/>
      <c r="B73" s="382" t="s">
        <v>141</v>
      </c>
      <c r="C73" s="382"/>
      <c r="D73" s="71">
        <f>SUMIF('BASE BID'!E:E, B73, 'BASE BID'!N:N)</f>
        <v>0</v>
      </c>
      <c r="E73" s="71">
        <f>SUMIF('BASE BID'!E:E, B73, 'BASE BID'!P:P)</f>
        <v>0</v>
      </c>
      <c r="F73" s="309">
        <f>SUMIF('BASE BID'!E:E, B73, 'BASE BID'!Q:Q)</f>
        <v>0</v>
      </c>
      <c r="G73" s="282">
        <f t="shared" si="5"/>
        <v>0</v>
      </c>
      <c r="H73" s="147"/>
      <c r="I73" s="147"/>
      <c r="J73" s="298">
        <f t="shared" si="6"/>
        <v>0</v>
      </c>
      <c r="K73" s="298">
        <f t="shared" si="9"/>
        <v>0</v>
      </c>
      <c r="L73" s="299">
        <f t="shared" si="10"/>
        <v>0</v>
      </c>
      <c r="M73" s="299"/>
      <c r="N73" s="304"/>
      <c r="O73" s="304"/>
      <c r="P73" s="304"/>
      <c r="Q73" s="119"/>
      <c r="R73" s="305">
        <v>0</v>
      </c>
      <c r="S73" s="1"/>
    </row>
    <row r="74" spans="1:19" ht="15" customHeight="1" x14ac:dyDescent="0.3">
      <c r="A74" s="79"/>
      <c r="B74" s="382" t="s">
        <v>146</v>
      </c>
      <c r="C74" s="382"/>
      <c r="D74" s="71">
        <f>SUMIF('BASE BID'!E:E, B74, 'BASE BID'!N:N)</f>
        <v>0</v>
      </c>
      <c r="E74" s="71">
        <f>SUMIF('BASE BID'!E:E, B74, 'BASE BID'!P:P)</f>
        <v>0</v>
      </c>
      <c r="F74" s="309">
        <f>SUMIF('BASE BID'!E:E, B74, 'BASE BID'!Q:Q)</f>
        <v>0</v>
      </c>
      <c r="G74" s="282">
        <f t="shared" si="5"/>
        <v>0</v>
      </c>
      <c r="H74" s="147"/>
      <c r="I74" s="147"/>
      <c r="J74" s="298">
        <f t="shared" si="6"/>
        <v>0</v>
      </c>
      <c r="K74" s="298">
        <f t="shared" si="9"/>
        <v>0</v>
      </c>
      <c r="L74" s="299">
        <f t="shared" si="10"/>
        <v>0</v>
      </c>
      <c r="M74" s="299"/>
      <c r="N74" s="304"/>
      <c r="O74" s="304"/>
      <c r="P74" s="304"/>
      <c r="Q74" s="119"/>
      <c r="R74" s="305">
        <v>0</v>
      </c>
      <c r="S74" s="1"/>
    </row>
    <row r="75" spans="1:19" ht="15" customHeight="1" x14ac:dyDescent="0.3">
      <c r="A75" s="79"/>
      <c r="B75" s="382" t="s">
        <v>150</v>
      </c>
      <c r="C75" s="382"/>
      <c r="D75" s="71">
        <f>SUMIF('BASE BID'!E:E, B75, 'BASE BID'!N:N)</f>
        <v>0</v>
      </c>
      <c r="E75" s="71">
        <f>SUMIF('BASE BID'!E:E, B75, 'BASE BID'!P:P)</f>
        <v>0</v>
      </c>
      <c r="F75" s="309">
        <f>SUMIF('BASE BID'!E:E, B75, 'BASE BID'!Q:Q)</f>
        <v>0</v>
      </c>
      <c r="G75" s="282">
        <f t="shared" si="5"/>
        <v>0</v>
      </c>
      <c r="H75" s="147"/>
      <c r="I75" s="147"/>
      <c r="J75" s="298">
        <f t="shared" si="6"/>
        <v>0</v>
      </c>
      <c r="K75" s="298">
        <f t="shared" si="9"/>
        <v>0</v>
      </c>
      <c r="L75" s="299">
        <f t="shared" si="10"/>
        <v>0</v>
      </c>
      <c r="M75" s="299"/>
      <c r="N75" s="304"/>
      <c r="O75" s="304"/>
      <c r="P75" s="304"/>
      <c r="Q75" s="119"/>
      <c r="R75" s="305">
        <v>0</v>
      </c>
      <c r="S75" s="1"/>
    </row>
    <row r="76" spans="1:19" ht="15" customHeight="1" x14ac:dyDescent="0.3">
      <c r="A76" s="79"/>
      <c r="B76" s="382" t="s">
        <v>155</v>
      </c>
      <c r="C76" s="382"/>
      <c r="D76" s="71">
        <f>SUMIF('BASE BID'!E:E, B76, 'BASE BID'!N:N)</f>
        <v>0</v>
      </c>
      <c r="E76" s="71">
        <f>SUMIF('BASE BID'!E:E, B76, 'BASE BID'!P:P)</f>
        <v>0</v>
      </c>
      <c r="F76" s="309">
        <f>SUMIF('BASE BID'!E:E, B76, 'BASE BID'!Q:Q)</f>
        <v>0</v>
      </c>
      <c r="G76" s="282">
        <f t="shared" si="5"/>
        <v>0</v>
      </c>
      <c r="H76" s="147"/>
      <c r="I76" s="147"/>
      <c r="J76" s="298">
        <f t="shared" si="6"/>
        <v>0</v>
      </c>
      <c r="K76" s="298">
        <f t="shared" si="9"/>
        <v>0</v>
      </c>
      <c r="L76" s="299">
        <f t="shared" si="10"/>
        <v>0</v>
      </c>
      <c r="M76" s="299"/>
      <c r="N76" s="304"/>
      <c r="O76" s="304"/>
      <c r="P76" s="304"/>
      <c r="Q76" s="119"/>
      <c r="R76" s="305">
        <v>0</v>
      </c>
      <c r="S76" s="1"/>
    </row>
    <row r="77" spans="1:19" ht="15" customHeight="1" x14ac:dyDescent="0.3">
      <c r="A77" s="79"/>
      <c r="B77" s="382" t="s">
        <v>156</v>
      </c>
      <c r="C77" s="382"/>
      <c r="D77" s="71">
        <f>SUMIF('BASE BID'!E:E, B77, 'BASE BID'!N:N)</f>
        <v>0</v>
      </c>
      <c r="E77" s="71">
        <f>SUMIF('BASE BID'!E:E, B77, 'BASE BID'!P:P)</f>
        <v>0</v>
      </c>
      <c r="F77" s="309">
        <f>SUMIF('BASE BID'!E:E, B77, 'BASE BID'!Q:Q)</f>
        <v>0</v>
      </c>
      <c r="G77" s="282">
        <f t="shared" si="5"/>
        <v>0</v>
      </c>
      <c r="H77" s="147"/>
      <c r="I77" s="147"/>
      <c r="J77" s="298">
        <f t="shared" si="6"/>
        <v>0</v>
      </c>
      <c r="K77" s="298">
        <f t="shared" ref="K77:K83" si="11">IF(R77="",J77,R77*(1+L$11))</f>
        <v>0</v>
      </c>
      <c r="L77" s="299">
        <f t="shared" ref="L77:L83" si="12">J77-K77</f>
        <v>0</v>
      </c>
      <c r="M77" s="299"/>
      <c r="N77" s="304"/>
      <c r="O77" s="304"/>
      <c r="P77" s="304"/>
      <c r="Q77" s="119"/>
      <c r="R77" s="305">
        <v>0</v>
      </c>
      <c r="S77" s="1"/>
    </row>
    <row r="78" spans="1:19" ht="15" customHeight="1" x14ac:dyDescent="0.3">
      <c r="A78" s="79"/>
      <c r="B78" s="382" t="s">
        <v>159</v>
      </c>
      <c r="C78" s="382"/>
      <c r="D78" s="71">
        <f>SUMIF('BASE BID'!E:E, B78, 'BASE BID'!N:N)</f>
        <v>0</v>
      </c>
      <c r="E78" s="71">
        <f>SUMIF('BASE BID'!E:E, B78, 'BASE BID'!P:P)</f>
        <v>0</v>
      </c>
      <c r="F78" s="309">
        <f>SUMIF('BASE BID'!E:E, B78, 'BASE BID'!Q:Q)</f>
        <v>0</v>
      </c>
      <c r="G78" s="282">
        <f t="shared" si="5"/>
        <v>0</v>
      </c>
      <c r="H78" s="147"/>
      <c r="I78" s="147"/>
      <c r="J78" s="298">
        <f t="shared" si="6"/>
        <v>0</v>
      </c>
      <c r="K78" s="298">
        <f t="shared" si="11"/>
        <v>0</v>
      </c>
      <c r="L78" s="299">
        <f t="shared" si="12"/>
        <v>0</v>
      </c>
      <c r="M78" s="299"/>
      <c r="N78" s="304"/>
      <c r="O78" s="304"/>
      <c r="P78" s="304"/>
      <c r="Q78" s="119"/>
      <c r="R78" s="305">
        <v>0</v>
      </c>
      <c r="S78" s="1"/>
    </row>
    <row r="79" spans="1:19" ht="15" customHeight="1" x14ac:dyDescent="0.3">
      <c r="A79" s="79"/>
      <c r="B79" s="382" t="s">
        <v>162</v>
      </c>
      <c r="C79" s="382"/>
      <c r="D79" s="71">
        <f>SUMIF('BASE BID'!E:E, B79, 'BASE BID'!N:N)</f>
        <v>0</v>
      </c>
      <c r="E79" s="71">
        <f>SUMIF('BASE BID'!E:E, B79, 'BASE BID'!P:P)</f>
        <v>0</v>
      </c>
      <c r="F79" s="309">
        <f>SUMIF('BASE BID'!E:E, B79, 'BASE BID'!Q:Q)</f>
        <v>0</v>
      </c>
      <c r="G79" s="282">
        <f t="shared" si="5"/>
        <v>0</v>
      </c>
      <c r="H79" s="147"/>
      <c r="I79" s="147"/>
      <c r="J79" s="298">
        <f t="shared" si="6"/>
        <v>0</v>
      </c>
      <c r="K79" s="298">
        <f t="shared" si="11"/>
        <v>0</v>
      </c>
      <c r="L79" s="299">
        <f t="shared" si="12"/>
        <v>0</v>
      </c>
      <c r="M79" s="299"/>
      <c r="N79" s="304"/>
      <c r="O79" s="304"/>
      <c r="P79" s="304"/>
      <c r="Q79" s="119"/>
      <c r="R79" s="305">
        <v>0</v>
      </c>
      <c r="S79" s="1"/>
    </row>
    <row r="80" spans="1:19" ht="15" customHeight="1" x14ac:dyDescent="0.3">
      <c r="A80" s="79"/>
      <c r="B80" s="382" t="s">
        <v>168</v>
      </c>
      <c r="C80" s="382"/>
      <c r="D80" s="71">
        <f>SUMIF('BASE BID'!E:E, B80, 'BASE BID'!N:N)</f>
        <v>7996081.9305534335</v>
      </c>
      <c r="E80" s="71">
        <f>SUMIF('BASE BID'!E:E, B80, 'BASE BID'!P:P)</f>
        <v>4330399.0744350003</v>
      </c>
      <c r="F80" s="309">
        <f>SUMIF('BASE BID'!E:E, B80, 'BASE BID'!Q:Q)</f>
        <v>12326481.004988423</v>
      </c>
      <c r="G80" s="282">
        <f t="shared" si="5"/>
        <v>0.83531721171114726</v>
      </c>
      <c r="H80" s="147"/>
      <c r="I80" s="147"/>
      <c r="J80" s="298">
        <f t="shared" si="6"/>
        <v>15932744.586022707</v>
      </c>
      <c r="K80" s="298">
        <f t="shared" si="11"/>
        <v>0</v>
      </c>
      <c r="L80" s="299">
        <f t="shared" si="12"/>
        <v>15932744.586022707</v>
      </c>
      <c r="M80" s="299"/>
      <c r="N80" s="304"/>
      <c r="O80" s="304"/>
      <c r="P80" s="304"/>
      <c r="Q80" s="119"/>
      <c r="R80" s="305">
        <v>0</v>
      </c>
      <c r="S80" s="1"/>
    </row>
    <row r="81" spans="1:19" ht="15" customHeight="1" x14ac:dyDescent="0.3">
      <c r="A81" s="79"/>
      <c r="B81" s="382" t="s">
        <v>170</v>
      </c>
      <c r="C81" s="382"/>
      <c r="D81" s="71">
        <f>SUMIF('BASE BID'!E:E, B81, 'BASE BID'!N:N)</f>
        <v>0</v>
      </c>
      <c r="E81" s="71">
        <f>SUMIF('BASE BID'!E:E, B81, 'BASE BID'!P:P)</f>
        <v>0</v>
      </c>
      <c r="F81" s="309">
        <f>SUMIF('BASE BID'!E:E, B81, 'BASE BID'!Q:Q)</f>
        <v>0</v>
      </c>
      <c r="G81" s="282">
        <f t="shared" si="5"/>
        <v>0</v>
      </c>
      <c r="H81" s="147"/>
      <c r="I81" s="147"/>
      <c r="J81" s="298">
        <f t="shared" si="6"/>
        <v>0</v>
      </c>
      <c r="K81" s="298">
        <f t="shared" si="11"/>
        <v>0</v>
      </c>
      <c r="L81" s="299">
        <f t="shared" si="12"/>
        <v>0</v>
      </c>
      <c r="M81" s="299"/>
      <c r="N81" s="304"/>
      <c r="O81" s="304"/>
      <c r="P81" s="304"/>
      <c r="Q81" s="119"/>
      <c r="R81" s="305">
        <v>0</v>
      </c>
      <c r="S81" s="1"/>
    </row>
    <row r="82" spans="1:19" ht="15" customHeight="1" x14ac:dyDescent="0.3">
      <c r="A82" s="79"/>
      <c r="B82" s="382" t="s">
        <v>76</v>
      </c>
      <c r="C82" s="382"/>
      <c r="D82" s="71">
        <f>SUMIF('BASE BID'!E:E, B82, 'BASE BID'!N:N)</f>
        <v>0</v>
      </c>
      <c r="E82" s="71">
        <f>SUMIF('BASE BID'!E:E, B82, 'BASE BID'!P:P)</f>
        <v>0</v>
      </c>
      <c r="F82" s="309">
        <f>SUMIF('BASE BID'!E:E, B82, 'BASE BID'!Q:Q)</f>
        <v>0</v>
      </c>
      <c r="G82" s="282">
        <f t="shared" si="5"/>
        <v>0</v>
      </c>
      <c r="H82" s="147"/>
      <c r="I82" s="147"/>
      <c r="J82" s="298">
        <f t="shared" si="6"/>
        <v>0</v>
      </c>
      <c r="K82" s="298">
        <f t="shared" si="11"/>
        <v>0</v>
      </c>
      <c r="L82" s="299">
        <f t="shared" si="12"/>
        <v>0</v>
      </c>
      <c r="M82" s="299"/>
      <c r="N82" s="304"/>
      <c r="O82" s="304"/>
      <c r="P82" s="304"/>
      <c r="Q82" s="119"/>
      <c r="R82" s="305">
        <v>0</v>
      </c>
      <c r="S82" s="1"/>
    </row>
    <row r="83" spans="1:19" ht="15" customHeight="1" x14ac:dyDescent="0.3">
      <c r="A83" s="79"/>
      <c r="B83" s="382" t="s">
        <v>177</v>
      </c>
      <c r="C83" s="382"/>
      <c r="D83" s="71">
        <f>SUMIF('BASE BID'!E:E, B83, 'BASE BID'!N:N)</f>
        <v>0</v>
      </c>
      <c r="E83" s="71">
        <f>SUMIF('BASE BID'!E:E, B83, 'BASE BID'!P:P)</f>
        <v>0</v>
      </c>
      <c r="F83" s="309">
        <f>SUMIF('BASE BID'!E:E, B83, 'BASE BID'!Q:Q)</f>
        <v>0</v>
      </c>
      <c r="G83" s="282">
        <f t="shared" si="5"/>
        <v>0</v>
      </c>
      <c r="H83" s="147"/>
      <c r="I83" s="147"/>
      <c r="J83" s="298">
        <f t="shared" si="6"/>
        <v>0</v>
      </c>
      <c r="K83" s="298">
        <f t="shared" si="11"/>
        <v>0</v>
      </c>
      <c r="L83" s="299">
        <f t="shared" si="12"/>
        <v>0</v>
      </c>
      <c r="M83" s="299"/>
      <c r="N83" s="304"/>
      <c r="O83" s="304"/>
      <c r="P83" s="304"/>
      <c r="Q83" s="119"/>
      <c r="R83" s="305">
        <v>0</v>
      </c>
      <c r="S83" s="1"/>
    </row>
    <row r="84" spans="1:19" x14ac:dyDescent="0.25">
      <c r="A84" s="79"/>
      <c r="B84" s="383" t="s">
        <v>77</v>
      </c>
      <c r="C84" s="383"/>
      <c r="D84" s="285">
        <f>SUM(D50:D83)</f>
        <v>10426247.660686901</v>
      </c>
      <c r="E84" s="285">
        <f>SUM(E50:E83)</f>
        <v>4330399.0744350003</v>
      </c>
      <c r="F84" s="286">
        <f>SUM(F50:F83)</f>
        <v>14756646.735121891</v>
      </c>
      <c r="G84" s="287">
        <f>SUM(G50:G83)</f>
        <v>0.99999999999999989</v>
      </c>
      <c r="H84" s="147"/>
      <c r="I84" s="147"/>
      <c r="J84" s="300">
        <f>SUM(J50:J83)</f>
        <v>19016017.356129542</v>
      </c>
      <c r="K84" s="301">
        <f>SUM(K50:K83)</f>
        <v>0</v>
      </c>
      <c r="L84" s="303">
        <f>SUM(L50:L83)</f>
        <v>19016017.356129542</v>
      </c>
      <c r="M84" s="303">
        <f>SUM(M50:M83)</f>
        <v>0</v>
      </c>
      <c r="N84" s="304"/>
      <c r="O84" s="304"/>
      <c r="P84" s="304"/>
      <c r="Q84" s="119"/>
      <c r="R84" s="300">
        <f>SUM(R50:R83)</f>
        <v>0</v>
      </c>
      <c r="S84" s="1"/>
    </row>
    <row r="85" spans="1:19" x14ac:dyDescent="0.25">
      <c r="A85" s="79"/>
      <c r="B85" s="383" t="s">
        <v>78</v>
      </c>
      <c r="C85" s="383"/>
      <c r="D85" s="288">
        <v>0</v>
      </c>
      <c r="E85" s="285">
        <f>E84*G85</f>
        <v>289184.05019076937</v>
      </c>
      <c r="F85" s="289">
        <f>D85+E85</f>
        <v>289184.05019076937</v>
      </c>
      <c r="G85" s="290">
        <f>G39</f>
        <v>6.6780000000000006E-2</v>
      </c>
      <c r="H85" s="147"/>
      <c r="I85" s="147"/>
      <c r="J85" s="119"/>
      <c r="K85" s="119"/>
      <c r="L85" s="119"/>
      <c r="M85" s="119"/>
      <c r="N85" s="119"/>
      <c r="O85" s="119"/>
      <c r="P85" s="119"/>
      <c r="Q85" s="81"/>
      <c r="R85" s="1"/>
      <c r="S85" s="1"/>
    </row>
    <row r="86" spans="1:19" x14ac:dyDescent="0.25">
      <c r="A86" s="79"/>
      <c r="B86" s="383" t="s">
        <v>79</v>
      </c>
      <c r="C86" s="383"/>
      <c r="D86" s="288">
        <v>0</v>
      </c>
      <c r="E86" s="285">
        <f>E84*G86</f>
        <v>1082599.7686087501</v>
      </c>
      <c r="F86" s="289">
        <f>D86+E86</f>
        <v>1082599.7686087501</v>
      </c>
      <c r="G86" s="290">
        <f>G40</f>
        <v>0.25</v>
      </c>
      <c r="H86" s="147"/>
      <c r="I86" s="147"/>
      <c r="J86" s="119"/>
      <c r="K86" s="119"/>
      <c r="L86" s="119"/>
      <c r="M86" s="119"/>
      <c r="N86" s="119"/>
      <c r="O86" s="119"/>
      <c r="P86" s="119"/>
      <c r="Q86" s="81"/>
      <c r="R86" s="1"/>
      <c r="S86" s="1"/>
    </row>
    <row r="87" spans="1:19" x14ac:dyDescent="0.25">
      <c r="A87" s="79"/>
      <c r="B87" s="383" t="s">
        <v>80</v>
      </c>
      <c r="C87" s="383"/>
      <c r="D87" s="288">
        <f>D84*G87</f>
        <v>2606561.9151717252</v>
      </c>
      <c r="E87" s="285">
        <v>0</v>
      </c>
      <c r="F87" s="289">
        <f>D87+E87</f>
        <v>2606561.9151717252</v>
      </c>
      <c r="G87" s="290">
        <f>G41</f>
        <v>0.25</v>
      </c>
      <c r="H87" s="147"/>
      <c r="I87" s="147"/>
      <c r="J87" s="119"/>
      <c r="K87" s="119"/>
      <c r="L87" s="119"/>
      <c r="M87" s="119"/>
      <c r="N87" s="119"/>
      <c r="O87" s="119"/>
      <c r="P87" s="119"/>
      <c r="Q87" s="81"/>
      <c r="R87" s="1"/>
      <c r="S87" s="1"/>
    </row>
    <row r="88" spans="1:19" x14ac:dyDescent="0.25">
      <c r="A88" s="79"/>
      <c r="B88" s="383" t="s">
        <v>12</v>
      </c>
      <c r="C88" s="383"/>
      <c r="D88" s="288"/>
      <c r="E88" s="289"/>
      <c r="F88" s="289">
        <f>SUM(F84:F87)*G88</f>
        <v>281024.88703639706</v>
      </c>
      <c r="G88" s="290">
        <f>G42</f>
        <v>1.4999999999999999E-2</v>
      </c>
      <c r="H88" s="147"/>
      <c r="I88" s="147"/>
      <c r="J88" s="119"/>
      <c r="K88" s="119"/>
      <c r="L88" s="119"/>
      <c r="M88" s="119"/>
      <c r="N88" s="119"/>
      <c r="O88" s="119"/>
      <c r="P88" s="119"/>
      <c r="Q88" s="81"/>
      <c r="R88" s="1"/>
      <c r="S88" s="1"/>
    </row>
    <row r="89" spans="1:19" x14ac:dyDescent="0.25">
      <c r="A89" s="79"/>
      <c r="B89" s="379" t="s">
        <v>81</v>
      </c>
      <c r="C89" s="379"/>
      <c r="D89" s="293"/>
      <c r="E89" s="294"/>
      <c r="F89" s="294">
        <f>F84+F85+F86+F87+F88</f>
        <v>19016017.356129535</v>
      </c>
      <c r="G89" s="295"/>
      <c r="H89" s="147"/>
      <c r="I89" s="147"/>
      <c r="J89" s="119"/>
      <c r="K89" s="119"/>
      <c r="L89" s="119"/>
      <c r="M89" s="119"/>
      <c r="N89" s="119"/>
      <c r="O89" s="119"/>
      <c r="P89" s="119"/>
      <c r="Q89" s="81"/>
      <c r="R89" s="1"/>
      <c r="S89" s="1"/>
    </row>
    <row r="90" spans="1:19" x14ac:dyDescent="0.25">
      <c r="A90" s="79"/>
      <c r="B90" s="147"/>
      <c r="C90" s="147"/>
      <c r="D90" s="253"/>
      <c r="E90" s="121"/>
      <c r="F90" s="121"/>
      <c r="G90" s="121"/>
      <c r="H90" s="147"/>
      <c r="I90" s="147"/>
      <c r="J90" s="119"/>
      <c r="K90" s="119"/>
      <c r="L90" s="119"/>
      <c r="M90" s="119"/>
      <c r="N90" s="119"/>
      <c r="O90" s="119"/>
      <c r="P90" s="119"/>
      <c r="Q90" s="81"/>
      <c r="R90" s="1"/>
      <c r="S90" s="1"/>
    </row>
    <row r="91" spans="1:19" x14ac:dyDescent="0.25">
      <c r="A91" s="91"/>
      <c r="B91" s="147"/>
      <c r="C91" s="147"/>
      <c r="D91" s="253"/>
      <c r="E91" s="121"/>
      <c r="F91" s="121"/>
      <c r="G91" s="121"/>
      <c r="H91" s="147"/>
      <c r="I91" s="147"/>
      <c r="J91" s="119"/>
      <c r="K91" s="119"/>
      <c r="L91" s="119"/>
      <c r="M91" s="119"/>
      <c r="N91" s="119"/>
      <c r="O91" s="119"/>
      <c r="P91" s="119"/>
      <c r="Q91" s="81"/>
      <c r="R91" s="1"/>
      <c r="S91" s="1"/>
    </row>
    <row r="92" spans="1:19" x14ac:dyDescent="0.25">
      <c r="A92" s="92"/>
      <c r="B92" s="93"/>
      <c r="C92" s="93"/>
      <c r="D92" s="94"/>
      <c r="E92" s="95"/>
      <c r="F92" s="95"/>
      <c r="G92" s="95"/>
      <c r="H92" s="93"/>
      <c r="I92" s="93"/>
      <c r="J92" s="96"/>
      <c r="K92" s="96"/>
      <c r="L92" s="96"/>
      <c r="M92" s="96"/>
      <c r="N92" s="96"/>
      <c r="O92" s="96"/>
      <c r="P92" s="96"/>
      <c r="Q92" s="97"/>
      <c r="R92" s="1"/>
      <c r="S92" s="1"/>
    </row>
    <row r="93" spans="1:19" x14ac:dyDescent="0.25">
      <c r="R93" s="1"/>
      <c r="S93" s="1"/>
    </row>
    <row r="94" spans="1:19" x14ac:dyDescent="0.25">
      <c r="R94" s="1"/>
      <c r="S94" s="1"/>
    </row>
  </sheetData>
  <sortState xmlns:xlrd2="http://schemas.microsoft.com/office/spreadsheetml/2017/richdata2" ref="B38:C51">
    <sortCondition ref="B38:B51"/>
  </sortState>
  <mergeCells count="63">
    <mergeCell ref="B80:C80"/>
    <mergeCell ref="B81:C81"/>
    <mergeCell ref="B79:C79"/>
    <mergeCell ref="B83:C83"/>
    <mergeCell ref="B82:C82"/>
    <mergeCell ref="B75:C75"/>
    <mergeCell ref="B74:C74"/>
    <mergeCell ref="B78:C78"/>
    <mergeCell ref="B76:C76"/>
    <mergeCell ref="B77:C77"/>
    <mergeCell ref="B72:C72"/>
    <mergeCell ref="B73:C73"/>
    <mergeCell ref="B66:C66"/>
    <mergeCell ref="B67:C67"/>
    <mergeCell ref="B68:C68"/>
    <mergeCell ref="B69:C69"/>
    <mergeCell ref="B70:C70"/>
    <mergeCell ref="B54:C54"/>
    <mergeCell ref="B55:C55"/>
    <mergeCell ref="B56:C56"/>
    <mergeCell ref="B61:C61"/>
    <mergeCell ref="B62:C62"/>
    <mergeCell ref="B57:C57"/>
    <mergeCell ref="B58:C58"/>
    <mergeCell ref="B59:C59"/>
    <mergeCell ref="B60:C60"/>
    <mergeCell ref="B47:G48"/>
    <mergeCell ref="B89:C89"/>
    <mergeCell ref="B49:C49"/>
    <mergeCell ref="B50:C50"/>
    <mergeCell ref="B51:C51"/>
    <mergeCell ref="B65:C65"/>
    <mergeCell ref="B84:C84"/>
    <mergeCell ref="B85:C85"/>
    <mergeCell ref="B86:C86"/>
    <mergeCell ref="B87:C87"/>
    <mergeCell ref="B88:C88"/>
    <mergeCell ref="B71:C71"/>
    <mergeCell ref="B63:C63"/>
    <mergeCell ref="B64:C64"/>
    <mergeCell ref="B52:C52"/>
    <mergeCell ref="B53:C53"/>
    <mergeCell ref="R18:R19"/>
    <mergeCell ref="R48:R49"/>
    <mergeCell ref="N49:P49"/>
    <mergeCell ref="N19:P19"/>
    <mergeCell ref="J47:L48"/>
    <mergeCell ref="J45:L46"/>
    <mergeCell ref="M47:M48"/>
    <mergeCell ref="M17:M18"/>
    <mergeCell ref="A1:Q2"/>
    <mergeCell ref="B11:D11"/>
    <mergeCell ref="B9:C9"/>
    <mergeCell ref="D6:I7"/>
    <mergeCell ref="J9:L10"/>
    <mergeCell ref="B10:C10"/>
    <mergeCell ref="J11:K11"/>
    <mergeCell ref="J15:L16"/>
    <mergeCell ref="J17:L18"/>
    <mergeCell ref="B12:C12"/>
    <mergeCell ref="B14:C14"/>
    <mergeCell ref="B13:G13"/>
    <mergeCell ref="B17:G18"/>
  </mergeCells>
  <phoneticPr fontId="52" type="noConversion"/>
  <conditionalFormatting sqref="D10 D12:D13">
    <cfRule type="expression" dxfId="1" priority="6" stopIfTrue="1">
      <formula>#REF!&lt;&gt;SUM(#REF!)</formula>
    </cfRule>
  </conditionalFormatting>
  <conditionalFormatting sqref="D14:D15">
    <cfRule type="expression" dxfId="0" priority="1" stopIfTrue="1">
      <formula>#REF!&lt;&gt;SUM(#REF!)</formula>
    </cfRule>
  </conditionalFormatting>
  <hyperlinks>
    <hyperlink ref="B11" location="'HOURLY RATES'!A1" display="Hourly Rates" xr:uid="{00000000-0004-0000-0200-000000000000}"/>
    <hyperlink ref="B10:C10" location="'BASE BID'!A1" display="Base bid" xr:uid="{00000000-0004-0000-0200-000002000000}"/>
  </hyperlinks>
  <printOptions horizontalCentered="1"/>
  <pageMargins left="0.25" right="0.25" top="0.75" bottom="0.75" header="0.3" footer="0.3"/>
  <pageSetup paperSize="9" scale="31" fitToHeight="0" orientation="portrait" r:id="rId1"/>
  <headerFooter>
    <oddFooter>&amp;C&amp;P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>
    <tabColor theme="0"/>
    <pageSetUpPr fitToPage="1"/>
  </sheetPr>
  <dimension ref="B1:M126"/>
  <sheetViews>
    <sheetView topLeftCell="A97" zoomScale="70" zoomScaleNormal="70" workbookViewId="0">
      <selection activeCell="G121" sqref="G121"/>
    </sheetView>
  </sheetViews>
  <sheetFormatPr defaultColWidth="8.81640625" defaultRowHeight="15.6" x14ac:dyDescent="0.3"/>
  <cols>
    <col min="1" max="1" width="8.81640625" style="72"/>
    <col min="2" max="2" width="11.08984375" style="72" customWidth="1"/>
    <col min="3" max="3" width="33.6328125" style="72" customWidth="1"/>
    <col min="4" max="4" width="14.54296875" style="72" bestFit="1" customWidth="1"/>
    <col min="5" max="16384" width="8.81640625" style="72"/>
  </cols>
  <sheetData>
    <row r="1" spans="2:13" ht="25.5" customHeight="1" x14ac:dyDescent="0.3">
      <c r="B1" s="245"/>
      <c r="C1" s="246"/>
      <c r="D1" s="246"/>
      <c r="E1" s="246"/>
      <c r="F1" s="246"/>
      <c r="G1" s="246"/>
      <c r="H1" s="246"/>
      <c r="I1" s="246"/>
      <c r="J1" s="247"/>
      <c r="K1" s="247"/>
      <c r="L1" s="247"/>
      <c r="M1" s="248"/>
    </row>
    <row r="2" spans="2:13" ht="16.5" customHeight="1" x14ac:dyDescent="0.3">
      <c r="B2" s="384" t="s">
        <v>261</v>
      </c>
      <c r="C2" s="385"/>
      <c r="D2" s="385"/>
      <c r="E2" s="385"/>
      <c r="F2" s="385"/>
      <c r="G2" s="385"/>
      <c r="H2" s="385"/>
      <c r="I2" s="385"/>
      <c r="J2" s="385"/>
      <c r="K2" s="385"/>
      <c r="L2" s="385"/>
      <c r="M2" s="386"/>
    </row>
    <row r="3" spans="2:13" ht="18" customHeight="1" thickBot="1" x14ac:dyDescent="0.35">
      <c r="B3" s="387"/>
      <c r="C3" s="388"/>
      <c r="D3" s="388"/>
      <c r="E3" s="388"/>
      <c r="F3" s="388"/>
      <c r="G3" s="388"/>
      <c r="H3" s="388"/>
      <c r="I3" s="388"/>
      <c r="J3" s="388"/>
      <c r="K3" s="388"/>
      <c r="L3" s="388"/>
      <c r="M3" s="389"/>
    </row>
    <row r="4" spans="2:13" ht="24.75" customHeight="1" thickBot="1" x14ac:dyDescent="0.35">
      <c r="B4" s="390" t="s">
        <v>262</v>
      </c>
      <c r="C4" s="391"/>
      <c r="D4" s="391"/>
      <c r="E4" s="392"/>
      <c r="F4" s="392"/>
      <c r="G4" s="392"/>
      <c r="H4" s="392"/>
      <c r="I4" s="392"/>
      <c r="J4" s="392"/>
      <c r="K4" s="392"/>
      <c r="L4" s="392"/>
      <c r="M4" s="393"/>
    </row>
    <row r="5" spans="2:13" ht="42" customHeight="1" thickBot="1" x14ac:dyDescent="0.35">
      <c r="B5" s="63" t="s">
        <v>263</v>
      </c>
      <c r="C5" s="63" t="s">
        <v>264</v>
      </c>
      <c r="D5" s="63" t="s">
        <v>265</v>
      </c>
      <c r="M5" s="249"/>
    </row>
    <row r="6" spans="2:13" ht="16.2" thickBot="1" x14ac:dyDescent="0.35">
      <c r="B6" s="11" t="s">
        <v>266</v>
      </c>
      <c r="C6" s="11" t="s">
        <v>45</v>
      </c>
      <c r="D6" s="64">
        <v>79.331999999999994</v>
      </c>
      <c r="F6" s="394" t="s">
        <v>199</v>
      </c>
      <c r="G6" s="395"/>
      <c r="H6" s="395"/>
      <c r="I6" s="395"/>
      <c r="J6" s="396"/>
      <c r="L6" s="322"/>
      <c r="M6" s="249"/>
    </row>
    <row r="7" spans="2:13" x14ac:dyDescent="0.3">
      <c r="B7" s="10" t="s">
        <v>59</v>
      </c>
      <c r="C7" s="11" t="s">
        <v>85</v>
      </c>
      <c r="D7" s="64">
        <v>102</v>
      </c>
      <c r="L7" s="322"/>
      <c r="M7" s="249"/>
    </row>
    <row r="8" spans="2:13" x14ac:dyDescent="0.3">
      <c r="B8" s="10" t="s">
        <v>57</v>
      </c>
      <c r="C8" s="11" t="s">
        <v>86</v>
      </c>
      <c r="D8" s="64">
        <v>105.6</v>
      </c>
      <c r="L8" s="322"/>
      <c r="M8" s="249"/>
    </row>
    <row r="9" spans="2:13" x14ac:dyDescent="0.3">
      <c r="B9" s="10" t="s">
        <v>60</v>
      </c>
      <c r="C9" s="11" t="s">
        <v>87</v>
      </c>
      <c r="D9" s="64">
        <v>105.6</v>
      </c>
      <c r="L9" s="322"/>
      <c r="M9" s="249"/>
    </row>
    <row r="10" spans="2:13" x14ac:dyDescent="0.3">
      <c r="B10" s="10" t="s">
        <v>46</v>
      </c>
      <c r="C10" s="11" t="s">
        <v>88</v>
      </c>
      <c r="D10" s="64">
        <v>112.8</v>
      </c>
      <c r="L10" s="322"/>
      <c r="M10" s="249"/>
    </row>
    <row r="11" spans="2:13" x14ac:dyDescent="0.3">
      <c r="B11" s="10" t="s">
        <v>59</v>
      </c>
      <c r="C11" s="11" t="s">
        <v>89</v>
      </c>
      <c r="D11" s="64">
        <v>114</v>
      </c>
      <c r="L11" s="322"/>
      <c r="M11" s="249"/>
    </row>
    <row r="12" spans="2:13" x14ac:dyDescent="0.3">
      <c r="B12" s="10" t="s">
        <v>62</v>
      </c>
      <c r="C12" s="11" t="s">
        <v>90</v>
      </c>
      <c r="D12" s="64">
        <v>100.8</v>
      </c>
      <c r="L12" s="322"/>
      <c r="M12" s="249"/>
    </row>
    <row r="13" spans="2:13" x14ac:dyDescent="0.3">
      <c r="B13" s="10" t="s">
        <v>51</v>
      </c>
      <c r="C13" s="11" t="s">
        <v>91</v>
      </c>
      <c r="D13" s="64">
        <v>100.8</v>
      </c>
      <c r="L13" s="322"/>
      <c r="M13" s="249"/>
    </row>
    <row r="14" spans="2:13" x14ac:dyDescent="0.3">
      <c r="B14" s="10" t="s">
        <v>57</v>
      </c>
      <c r="C14" s="11" t="s">
        <v>92</v>
      </c>
      <c r="D14" s="64">
        <v>103.2</v>
      </c>
      <c r="L14" s="322"/>
      <c r="M14" s="249"/>
    </row>
    <row r="15" spans="2:13" x14ac:dyDescent="0.3">
      <c r="B15" s="10" t="s">
        <v>53</v>
      </c>
      <c r="C15" s="11" t="s">
        <v>93</v>
      </c>
      <c r="D15" s="64">
        <v>110.62980000000002</v>
      </c>
      <c r="L15" s="322"/>
      <c r="M15" s="249"/>
    </row>
    <row r="16" spans="2:13" x14ac:dyDescent="0.3">
      <c r="B16" s="10" t="s">
        <v>51</v>
      </c>
      <c r="C16" s="11" t="s">
        <v>94</v>
      </c>
      <c r="D16" s="64">
        <v>99.6</v>
      </c>
      <c r="L16" s="322"/>
      <c r="M16" s="249"/>
    </row>
    <row r="17" spans="2:13" x14ac:dyDescent="0.3">
      <c r="B17" s="10" t="s">
        <v>51</v>
      </c>
      <c r="C17" s="11" t="s">
        <v>95</v>
      </c>
      <c r="D17" s="64">
        <v>102.6756</v>
      </c>
      <c r="L17" s="322"/>
      <c r="M17" s="249"/>
    </row>
    <row r="18" spans="2:13" x14ac:dyDescent="0.3">
      <c r="B18" s="10" t="s">
        <v>57</v>
      </c>
      <c r="C18" s="11" t="s">
        <v>96</v>
      </c>
      <c r="D18" s="64">
        <v>77.630400000000009</v>
      </c>
      <c r="L18" s="322"/>
      <c r="M18" s="249"/>
    </row>
    <row r="19" spans="2:13" x14ac:dyDescent="0.3">
      <c r="B19" s="10" t="s">
        <v>73</v>
      </c>
      <c r="C19" s="11" t="s">
        <v>97</v>
      </c>
      <c r="D19" s="64">
        <v>185.4</v>
      </c>
      <c r="L19" s="322"/>
      <c r="M19" s="249"/>
    </row>
    <row r="20" spans="2:13" x14ac:dyDescent="0.3">
      <c r="B20" s="10" t="s">
        <v>72</v>
      </c>
      <c r="C20" s="11" t="s">
        <v>98</v>
      </c>
      <c r="D20" s="64">
        <v>103.2</v>
      </c>
      <c r="L20" s="322"/>
      <c r="M20" s="249"/>
    </row>
    <row r="21" spans="2:13" x14ac:dyDescent="0.3">
      <c r="B21" s="10" t="s">
        <v>47</v>
      </c>
      <c r="C21" s="11" t="s">
        <v>99</v>
      </c>
      <c r="D21" s="64">
        <v>93.6</v>
      </c>
      <c r="L21" s="322"/>
      <c r="M21" s="249"/>
    </row>
    <row r="22" spans="2:13" x14ac:dyDescent="0.3">
      <c r="B22" s="10" t="s">
        <v>62</v>
      </c>
      <c r="C22" s="11" t="s">
        <v>100</v>
      </c>
      <c r="D22" s="64">
        <v>88.128</v>
      </c>
      <c r="L22" s="322"/>
      <c r="M22" s="249"/>
    </row>
    <row r="23" spans="2:13" x14ac:dyDescent="0.3">
      <c r="B23" s="10" t="s">
        <v>55</v>
      </c>
      <c r="C23" s="11" t="s">
        <v>101</v>
      </c>
      <c r="D23" s="64">
        <v>88.128</v>
      </c>
      <c r="L23" s="322"/>
      <c r="M23" s="249"/>
    </row>
    <row r="24" spans="2:13" x14ac:dyDescent="0.3">
      <c r="B24" s="10" t="s">
        <v>46</v>
      </c>
      <c r="C24" s="11" t="s">
        <v>102</v>
      </c>
      <c r="D24" s="64">
        <v>79.2</v>
      </c>
      <c r="L24" s="322"/>
      <c r="M24" s="249"/>
    </row>
    <row r="25" spans="2:13" x14ac:dyDescent="0.3">
      <c r="B25" s="10" t="s">
        <v>46</v>
      </c>
      <c r="C25" s="11" t="s">
        <v>103</v>
      </c>
      <c r="D25" s="64">
        <v>79.2</v>
      </c>
      <c r="L25" s="322"/>
      <c r="M25" s="249"/>
    </row>
    <row r="26" spans="2:13" x14ac:dyDescent="0.3">
      <c r="B26" s="10" t="s">
        <v>73</v>
      </c>
      <c r="C26" s="11" t="s">
        <v>104</v>
      </c>
      <c r="D26" s="64">
        <v>178.42680000000001</v>
      </c>
      <c r="L26" s="322"/>
      <c r="M26" s="249"/>
    </row>
    <row r="27" spans="2:13" x14ac:dyDescent="0.3">
      <c r="B27" s="10" t="s">
        <v>55</v>
      </c>
      <c r="C27" s="11" t="s">
        <v>105</v>
      </c>
      <c r="D27" s="64">
        <v>96.147000000000006</v>
      </c>
      <c r="L27" s="322"/>
      <c r="M27" s="249"/>
    </row>
    <row r="28" spans="2:13" x14ac:dyDescent="0.3">
      <c r="B28" s="10" t="s">
        <v>57</v>
      </c>
      <c r="C28" s="11" t="s">
        <v>106</v>
      </c>
      <c r="D28" s="64">
        <v>100.08</v>
      </c>
      <c r="L28" s="322"/>
      <c r="M28" s="249"/>
    </row>
    <row r="29" spans="2:13" x14ac:dyDescent="0.3">
      <c r="B29" s="10" t="s">
        <v>73</v>
      </c>
      <c r="C29" s="11" t="s">
        <v>107</v>
      </c>
      <c r="D29" s="64">
        <v>138.27600000000001</v>
      </c>
      <c r="L29" s="322"/>
      <c r="M29" s="249"/>
    </row>
    <row r="30" spans="2:13" x14ac:dyDescent="0.3">
      <c r="B30" s="10" t="s">
        <v>70</v>
      </c>
      <c r="C30" s="11" t="s">
        <v>108</v>
      </c>
      <c r="D30" s="64">
        <v>103.2</v>
      </c>
      <c r="L30" s="322"/>
      <c r="M30" s="249"/>
    </row>
    <row r="31" spans="2:13" x14ac:dyDescent="0.3">
      <c r="B31" s="10" t="s">
        <v>267</v>
      </c>
      <c r="C31" s="11" t="s">
        <v>109</v>
      </c>
      <c r="D31" s="64">
        <v>103.2</v>
      </c>
      <c r="L31" s="322"/>
      <c r="M31" s="249"/>
    </row>
    <row r="32" spans="2:13" x14ac:dyDescent="0.3">
      <c r="B32" s="10" t="s">
        <v>65</v>
      </c>
      <c r="C32" s="11" t="s">
        <v>110</v>
      </c>
      <c r="D32" s="64">
        <v>156.31380000000001</v>
      </c>
      <c r="L32" s="322"/>
      <c r="M32" s="249"/>
    </row>
    <row r="33" spans="2:13" x14ac:dyDescent="0.3">
      <c r="B33" s="10" t="s">
        <v>60</v>
      </c>
      <c r="C33" s="11" t="s">
        <v>61</v>
      </c>
      <c r="D33" s="64">
        <v>104.0688</v>
      </c>
      <c r="L33" s="322"/>
      <c r="M33" s="249"/>
    </row>
    <row r="34" spans="2:13" x14ac:dyDescent="0.3">
      <c r="B34" s="10" t="s">
        <v>73</v>
      </c>
      <c r="C34" s="11" t="s">
        <v>111</v>
      </c>
      <c r="D34" s="64">
        <v>86.759999999999991</v>
      </c>
      <c r="L34" s="322"/>
      <c r="M34" s="249"/>
    </row>
    <row r="35" spans="2:13" x14ac:dyDescent="0.3">
      <c r="B35" s="10" t="s">
        <v>74</v>
      </c>
      <c r="C35" s="11" t="s">
        <v>112</v>
      </c>
      <c r="D35" s="64">
        <v>98.399999999999991</v>
      </c>
      <c r="L35" s="322"/>
      <c r="M35" s="249"/>
    </row>
    <row r="36" spans="2:13" x14ac:dyDescent="0.3">
      <c r="B36" s="10" t="s">
        <v>57</v>
      </c>
      <c r="C36" s="11" t="s">
        <v>113</v>
      </c>
      <c r="D36" s="64">
        <v>104.1336</v>
      </c>
      <c r="L36" s="322"/>
      <c r="M36" s="249"/>
    </row>
    <row r="37" spans="2:13" x14ac:dyDescent="0.3">
      <c r="B37" s="10" t="s">
        <v>59</v>
      </c>
      <c r="C37" s="11" t="s">
        <v>114</v>
      </c>
      <c r="D37" s="64">
        <v>98.399999999999991</v>
      </c>
      <c r="L37" s="322"/>
      <c r="M37" s="249"/>
    </row>
    <row r="38" spans="2:13" x14ac:dyDescent="0.3">
      <c r="B38" s="10" t="s">
        <v>74</v>
      </c>
      <c r="C38" s="11" t="s">
        <v>115</v>
      </c>
      <c r="D38" s="64">
        <v>103.06439999999999</v>
      </c>
      <c r="L38" s="322"/>
      <c r="M38" s="249"/>
    </row>
    <row r="39" spans="2:13" x14ac:dyDescent="0.3">
      <c r="B39" s="10" t="s">
        <v>74</v>
      </c>
      <c r="C39" s="11" t="s">
        <v>116</v>
      </c>
      <c r="D39" s="64">
        <v>98.399999999999991</v>
      </c>
      <c r="L39" s="322"/>
      <c r="M39" s="249"/>
    </row>
    <row r="40" spans="2:13" x14ac:dyDescent="0.3">
      <c r="B40" s="10" t="s">
        <v>74</v>
      </c>
      <c r="C40" s="11" t="s">
        <v>117</v>
      </c>
      <c r="D40" s="64">
        <v>99.305999999999997</v>
      </c>
      <c r="L40" s="322"/>
      <c r="M40" s="249"/>
    </row>
    <row r="41" spans="2:13" x14ac:dyDescent="0.3">
      <c r="B41" s="10" t="s">
        <v>51</v>
      </c>
      <c r="C41" s="11" t="s">
        <v>118</v>
      </c>
      <c r="D41" s="64">
        <v>100.8</v>
      </c>
      <c r="L41" s="322"/>
      <c r="M41" s="249"/>
    </row>
    <row r="42" spans="2:13" x14ac:dyDescent="0.3">
      <c r="B42" s="10" t="s">
        <v>57</v>
      </c>
      <c r="C42" s="11" t="s">
        <v>119</v>
      </c>
      <c r="D42" s="64">
        <v>89.46</v>
      </c>
      <c r="L42" s="322"/>
      <c r="M42" s="249"/>
    </row>
    <row r="43" spans="2:13" x14ac:dyDescent="0.3">
      <c r="B43" s="10" t="s">
        <v>66</v>
      </c>
      <c r="C43" s="11" t="s">
        <v>67</v>
      </c>
      <c r="D43" s="64">
        <v>124.85339999999999</v>
      </c>
      <c r="L43" s="322"/>
      <c r="M43" s="249"/>
    </row>
    <row r="44" spans="2:13" x14ac:dyDescent="0.3">
      <c r="B44" s="10" t="s">
        <v>59</v>
      </c>
      <c r="C44" s="11" t="s">
        <v>120</v>
      </c>
      <c r="D44" s="64">
        <v>93.6</v>
      </c>
      <c r="L44" s="322"/>
      <c r="M44" s="249"/>
    </row>
    <row r="45" spans="2:13" x14ac:dyDescent="0.3">
      <c r="B45" s="10" t="s">
        <v>57</v>
      </c>
      <c r="C45" s="11" t="s">
        <v>121</v>
      </c>
      <c r="D45" s="64">
        <v>98.399999999999991</v>
      </c>
      <c r="L45" s="322"/>
      <c r="M45" s="249"/>
    </row>
    <row r="46" spans="2:13" x14ac:dyDescent="0.3">
      <c r="B46" s="10" t="s">
        <v>59</v>
      </c>
      <c r="C46" s="11" t="s">
        <v>122</v>
      </c>
      <c r="D46" s="64">
        <v>98.399999999999991</v>
      </c>
      <c r="L46" s="322"/>
      <c r="M46" s="249"/>
    </row>
    <row r="47" spans="2:13" x14ac:dyDescent="0.3">
      <c r="B47" s="10" t="s">
        <v>50</v>
      </c>
      <c r="C47" s="11" t="s">
        <v>123</v>
      </c>
      <c r="D47" s="64">
        <v>102</v>
      </c>
      <c r="L47" s="322"/>
      <c r="M47" s="249"/>
    </row>
    <row r="48" spans="2:13" x14ac:dyDescent="0.3">
      <c r="B48" s="10" t="s">
        <v>57</v>
      </c>
      <c r="C48" s="11" t="s">
        <v>124</v>
      </c>
      <c r="D48" s="64">
        <v>102</v>
      </c>
      <c r="L48" s="322"/>
      <c r="M48" s="249"/>
    </row>
    <row r="49" spans="2:13" x14ac:dyDescent="0.3">
      <c r="B49" s="10" t="s">
        <v>51</v>
      </c>
      <c r="C49" s="11" t="s">
        <v>125</v>
      </c>
      <c r="D49" s="64">
        <v>102</v>
      </c>
      <c r="L49" s="322"/>
      <c r="M49" s="249"/>
    </row>
    <row r="50" spans="2:13" x14ac:dyDescent="0.3">
      <c r="B50" s="10" t="s">
        <v>51</v>
      </c>
      <c r="C50" s="11" t="s">
        <v>126</v>
      </c>
      <c r="D50" s="64">
        <v>102</v>
      </c>
      <c r="L50" s="322"/>
      <c r="M50" s="249"/>
    </row>
    <row r="51" spans="2:13" x14ac:dyDescent="0.3">
      <c r="B51" s="10" t="s">
        <v>62</v>
      </c>
      <c r="C51" s="11" t="s">
        <v>127</v>
      </c>
      <c r="D51" s="64">
        <v>90</v>
      </c>
      <c r="L51" s="322"/>
      <c r="M51" s="249"/>
    </row>
    <row r="52" spans="2:13" x14ac:dyDescent="0.3">
      <c r="B52" s="10" t="s">
        <v>55</v>
      </c>
      <c r="C52" s="11" t="s">
        <v>128</v>
      </c>
      <c r="D52" s="64">
        <v>98.398800000000008</v>
      </c>
      <c r="L52" s="322"/>
      <c r="M52" s="249"/>
    </row>
    <row r="53" spans="2:13" x14ac:dyDescent="0.3">
      <c r="B53" s="10" t="s">
        <v>46</v>
      </c>
      <c r="C53" s="11" t="s">
        <v>129</v>
      </c>
      <c r="D53" s="64">
        <v>102.27060000000002</v>
      </c>
      <c r="L53" s="322"/>
      <c r="M53" s="249"/>
    </row>
    <row r="54" spans="2:13" x14ac:dyDescent="0.3">
      <c r="B54" s="10" t="s">
        <v>53</v>
      </c>
      <c r="C54" s="11" t="s">
        <v>130</v>
      </c>
      <c r="D54" s="64">
        <v>99.532799999999995</v>
      </c>
      <c r="L54" s="322"/>
      <c r="M54" s="249"/>
    </row>
    <row r="55" spans="2:13" x14ac:dyDescent="0.3">
      <c r="B55" s="10" t="s">
        <v>57</v>
      </c>
      <c r="C55" s="11" t="s">
        <v>131</v>
      </c>
      <c r="D55" s="64">
        <v>104.1336</v>
      </c>
      <c r="L55" s="322"/>
      <c r="M55" s="249"/>
    </row>
    <row r="56" spans="2:13" x14ac:dyDescent="0.3">
      <c r="B56" s="10" t="s">
        <v>59</v>
      </c>
      <c r="C56" s="11" t="s">
        <v>132</v>
      </c>
      <c r="D56" s="64">
        <v>95.547600000000003</v>
      </c>
      <c r="L56" s="322"/>
      <c r="M56" s="249"/>
    </row>
    <row r="57" spans="2:13" x14ac:dyDescent="0.3">
      <c r="B57" s="10" t="s">
        <v>74</v>
      </c>
      <c r="C57" s="11" t="s">
        <v>133</v>
      </c>
      <c r="D57" s="64">
        <v>91.2</v>
      </c>
      <c r="L57" s="322"/>
      <c r="M57" s="249"/>
    </row>
    <row r="58" spans="2:13" x14ac:dyDescent="0.3">
      <c r="B58" s="10" t="s">
        <v>53</v>
      </c>
      <c r="C58" s="11" t="s">
        <v>134</v>
      </c>
      <c r="D58" s="64">
        <v>91.2</v>
      </c>
      <c r="L58" s="322"/>
      <c r="M58" s="249"/>
    </row>
    <row r="59" spans="2:13" x14ac:dyDescent="0.3">
      <c r="B59" s="10" t="s">
        <v>74</v>
      </c>
      <c r="C59" s="11" t="s">
        <v>135</v>
      </c>
      <c r="D59" s="64">
        <v>91.2</v>
      </c>
      <c r="L59" s="322"/>
      <c r="M59" s="249"/>
    </row>
    <row r="60" spans="2:13" x14ac:dyDescent="0.3">
      <c r="B60" s="10" t="s">
        <v>62</v>
      </c>
      <c r="C60" s="11" t="s">
        <v>136</v>
      </c>
      <c r="D60" s="64">
        <v>95.547600000000003</v>
      </c>
      <c r="L60" s="322"/>
      <c r="M60" s="249"/>
    </row>
    <row r="61" spans="2:13" x14ac:dyDescent="0.3">
      <c r="B61" s="10" t="s">
        <v>49</v>
      </c>
      <c r="C61" s="11" t="s">
        <v>137</v>
      </c>
      <c r="D61" s="64">
        <v>96.94080000000001</v>
      </c>
      <c r="L61" s="322"/>
      <c r="M61" s="249"/>
    </row>
    <row r="62" spans="2:13" x14ac:dyDescent="0.3">
      <c r="B62" s="10" t="s">
        <v>49</v>
      </c>
      <c r="C62" s="11" t="s">
        <v>138</v>
      </c>
      <c r="D62" s="64">
        <v>99.727200000000011</v>
      </c>
      <c r="L62" s="322"/>
      <c r="M62" s="249"/>
    </row>
    <row r="63" spans="2:13" x14ac:dyDescent="0.3">
      <c r="B63" s="10" t="s">
        <v>49</v>
      </c>
      <c r="C63" s="11" t="s">
        <v>139</v>
      </c>
      <c r="D63" s="64">
        <v>92.582999999999998</v>
      </c>
      <c r="L63" s="322"/>
      <c r="M63" s="249"/>
    </row>
    <row r="64" spans="2:13" x14ac:dyDescent="0.3">
      <c r="B64" s="10" t="s">
        <v>69</v>
      </c>
      <c r="C64" s="11" t="s">
        <v>140</v>
      </c>
      <c r="D64" s="64">
        <v>118.2114</v>
      </c>
      <c r="L64" s="322"/>
      <c r="M64" s="249"/>
    </row>
    <row r="65" spans="2:13" x14ac:dyDescent="0.3">
      <c r="B65" s="10" t="s">
        <v>51</v>
      </c>
      <c r="C65" s="11" t="s">
        <v>141</v>
      </c>
      <c r="D65" s="64">
        <v>95.547600000000003</v>
      </c>
      <c r="L65" s="322"/>
      <c r="M65" s="249"/>
    </row>
    <row r="66" spans="2:13" x14ac:dyDescent="0.3">
      <c r="B66" s="10" t="s">
        <v>50</v>
      </c>
      <c r="C66" s="11" t="s">
        <v>142</v>
      </c>
      <c r="D66" s="64">
        <v>103.2426</v>
      </c>
      <c r="L66" s="322"/>
      <c r="M66" s="249"/>
    </row>
    <row r="67" spans="2:13" x14ac:dyDescent="0.3">
      <c r="B67" s="10" t="s">
        <v>50</v>
      </c>
      <c r="C67" s="11" t="s">
        <v>143</v>
      </c>
      <c r="D67" s="64">
        <v>110.62980000000002</v>
      </c>
      <c r="L67" s="322"/>
      <c r="M67" s="249"/>
    </row>
    <row r="68" spans="2:13" x14ac:dyDescent="0.3">
      <c r="B68" s="10" t="s">
        <v>51</v>
      </c>
      <c r="C68" s="11" t="s">
        <v>144</v>
      </c>
      <c r="D68" s="64">
        <v>95.547600000000003</v>
      </c>
      <c r="L68" s="322"/>
      <c r="M68" s="249"/>
    </row>
    <row r="69" spans="2:13" x14ac:dyDescent="0.3">
      <c r="B69" s="10" t="s">
        <v>51</v>
      </c>
      <c r="C69" s="11" t="s">
        <v>145</v>
      </c>
      <c r="D69" s="64">
        <v>103.0806</v>
      </c>
      <c r="L69" s="322"/>
      <c r="M69" s="249"/>
    </row>
    <row r="70" spans="2:13" x14ac:dyDescent="0.3">
      <c r="B70" s="10" t="s">
        <v>74</v>
      </c>
      <c r="C70" s="11" t="s">
        <v>146</v>
      </c>
      <c r="D70" s="64">
        <v>91.2</v>
      </c>
      <c r="L70" s="322"/>
      <c r="M70" s="249"/>
    </row>
    <row r="71" spans="2:13" x14ac:dyDescent="0.3">
      <c r="B71" s="10" t="s">
        <v>51</v>
      </c>
      <c r="C71" s="11" t="s">
        <v>147</v>
      </c>
      <c r="D71" s="64">
        <v>99.030600000000007</v>
      </c>
      <c r="L71" s="322"/>
      <c r="M71" s="249"/>
    </row>
    <row r="72" spans="2:13" x14ac:dyDescent="0.3">
      <c r="B72" s="10" t="s">
        <v>73</v>
      </c>
      <c r="C72" s="11" t="s">
        <v>148</v>
      </c>
      <c r="D72" s="64">
        <v>144.92519999999999</v>
      </c>
      <c r="L72" s="322"/>
      <c r="M72" s="249"/>
    </row>
    <row r="73" spans="2:13" x14ac:dyDescent="0.3">
      <c r="B73" s="10" t="s">
        <v>60</v>
      </c>
      <c r="C73" s="11" t="s">
        <v>149</v>
      </c>
      <c r="D73" s="64">
        <v>98.399999999999991</v>
      </c>
      <c r="L73" s="322"/>
      <c r="M73" s="249"/>
    </row>
    <row r="74" spans="2:13" x14ac:dyDescent="0.3">
      <c r="B74" s="10" t="s">
        <v>68</v>
      </c>
      <c r="C74" s="11" t="s">
        <v>150</v>
      </c>
      <c r="D74" s="64">
        <v>105.4782</v>
      </c>
      <c r="L74" s="322"/>
      <c r="M74" s="249"/>
    </row>
    <row r="75" spans="2:13" x14ac:dyDescent="0.3">
      <c r="B75" s="10" t="s">
        <v>63</v>
      </c>
      <c r="C75" s="11" t="s">
        <v>151</v>
      </c>
      <c r="D75" s="64">
        <v>108.19980000000001</v>
      </c>
      <c r="L75" s="322"/>
      <c r="M75" s="249"/>
    </row>
    <row r="76" spans="2:13" x14ac:dyDescent="0.3">
      <c r="B76" s="10" t="s">
        <v>47</v>
      </c>
      <c r="C76" s="11" t="s">
        <v>152</v>
      </c>
      <c r="D76" s="64">
        <v>93.6</v>
      </c>
      <c r="L76" s="322"/>
      <c r="M76" s="249"/>
    </row>
    <row r="77" spans="2:13" x14ac:dyDescent="0.3">
      <c r="B77" s="10" t="s">
        <v>63</v>
      </c>
      <c r="C77" s="11" t="s">
        <v>153</v>
      </c>
      <c r="D77" s="64">
        <v>173.82600000000002</v>
      </c>
      <c r="L77" s="322"/>
      <c r="M77" s="249"/>
    </row>
    <row r="78" spans="2:13" x14ac:dyDescent="0.3">
      <c r="B78" s="10" t="s">
        <v>51</v>
      </c>
      <c r="C78" s="11" t="s">
        <v>154</v>
      </c>
      <c r="D78" s="64">
        <v>99.532799999999995</v>
      </c>
      <c r="L78" s="322"/>
      <c r="M78" s="249"/>
    </row>
    <row r="79" spans="2:13" x14ac:dyDescent="0.3">
      <c r="B79" s="10" t="s">
        <v>53</v>
      </c>
      <c r="C79" s="11" t="s">
        <v>155</v>
      </c>
      <c r="D79" s="64">
        <v>97.44</v>
      </c>
      <c r="L79" s="322"/>
      <c r="M79" s="249"/>
    </row>
    <row r="80" spans="2:13" x14ac:dyDescent="0.3">
      <c r="B80" s="10" t="s">
        <v>51</v>
      </c>
      <c r="C80" s="11" t="s">
        <v>156</v>
      </c>
      <c r="D80" s="64">
        <v>100.8</v>
      </c>
      <c r="L80" s="322"/>
      <c r="M80" s="249"/>
    </row>
    <row r="81" spans="2:13" x14ac:dyDescent="0.3">
      <c r="B81" s="10" t="s">
        <v>73</v>
      </c>
      <c r="C81" s="11" t="s">
        <v>157</v>
      </c>
      <c r="D81" s="64">
        <v>100.8</v>
      </c>
      <c r="L81" s="322"/>
      <c r="M81" s="249"/>
    </row>
    <row r="82" spans="2:13" x14ac:dyDescent="0.3">
      <c r="B82" s="10" t="s">
        <v>53</v>
      </c>
      <c r="C82" s="11" t="s">
        <v>158</v>
      </c>
      <c r="D82" s="64">
        <v>102.20580000000001</v>
      </c>
      <c r="L82" s="322"/>
      <c r="M82" s="249"/>
    </row>
    <row r="83" spans="2:13" x14ac:dyDescent="0.3">
      <c r="B83" s="10" t="s">
        <v>47</v>
      </c>
      <c r="C83" s="11" t="s">
        <v>159</v>
      </c>
      <c r="D83" s="64">
        <v>100.8</v>
      </c>
      <c r="L83" s="322"/>
      <c r="M83" s="249"/>
    </row>
    <row r="84" spans="2:13" x14ac:dyDescent="0.3">
      <c r="B84" s="10" t="s">
        <v>70</v>
      </c>
      <c r="C84" s="11" t="s">
        <v>160</v>
      </c>
      <c r="D84" s="64">
        <v>93.619800000000012</v>
      </c>
      <c r="L84" s="322"/>
      <c r="M84" s="249"/>
    </row>
    <row r="85" spans="2:13" x14ac:dyDescent="0.3">
      <c r="B85" s="10" t="s">
        <v>62</v>
      </c>
      <c r="C85" s="11" t="s">
        <v>161</v>
      </c>
      <c r="D85" s="64">
        <v>100.8</v>
      </c>
      <c r="L85" s="322"/>
      <c r="M85" s="249"/>
    </row>
    <row r="86" spans="2:13" x14ac:dyDescent="0.3">
      <c r="B86" s="10" t="s">
        <v>57</v>
      </c>
      <c r="C86" s="11" t="s">
        <v>162</v>
      </c>
      <c r="D86" s="64">
        <v>104.1336</v>
      </c>
      <c r="L86" s="322"/>
      <c r="M86" s="249"/>
    </row>
    <row r="87" spans="2:13" x14ac:dyDescent="0.3">
      <c r="B87" s="10" t="s">
        <v>59</v>
      </c>
      <c r="C87" s="11" t="s">
        <v>163</v>
      </c>
      <c r="D87" s="64">
        <v>95.547600000000003</v>
      </c>
      <c r="L87" s="322"/>
      <c r="M87" s="249"/>
    </row>
    <row r="88" spans="2:13" x14ac:dyDescent="0.3">
      <c r="B88" s="10" t="s">
        <v>55</v>
      </c>
      <c r="C88" s="11" t="s">
        <v>164</v>
      </c>
      <c r="D88" s="64">
        <v>108</v>
      </c>
      <c r="L88" s="322"/>
      <c r="M88" s="249"/>
    </row>
    <row r="89" spans="2:13" x14ac:dyDescent="0.3">
      <c r="B89" s="10" t="s">
        <v>63</v>
      </c>
      <c r="C89" s="11" t="s">
        <v>64</v>
      </c>
      <c r="D89" s="64">
        <v>103.2426</v>
      </c>
      <c r="L89" s="322"/>
      <c r="M89" s="249"/>
    </row>
    <row r="90" spans="2:13" x14ac:dyDescent="0.3">
      <c r="B90" s="10" t="s">
        <v>50</v>
      </c>
      <c r="C90" s="11" t="s">
        <v>165</v>
      </c>
      <c r="D90" s="64">
        <v>103.2426</v>
      </c>
      <c r="L90" s="322"/>
      <c r="M90" s="249"/>
    </row>
    <row r="91" spans="2:13" x14ac:dyDescent="0.3">
      <c r="B91" s="10" t="s">
        <v>51</v>
      </c>
      <c r="C91" s="11" t="s">
        <v>166</v>
      </c>
      <c r="D91" s="64">
        <v>95.547600000000003</v>
      </c>
      <c r="L91" s="322"/>
      <c r="M91" s="249"/>
    </row>
    <row r="92" spans="2:13" x14ac:dyDescent="0.3">
      <c r="B92" s="10" t="s">
        <v>55</v>
      </c>
      <c r="C92" s="11" t="s">
        <v>167</v>
      </c>
      <c r="D92" s="64">
        <v>93.876000000000005</v>
      </c>
      <c r="L92" s="322"/>
      <c r="M92" s="249"/>
    </row>
    <row r="93" spans="2:13" x14ac:dyDescent="0.3">
      <c r="B93" s="10" t="s">
        <v>50</v>
      </c>
      <c r="C93" s="11" t="s">
        <v>168</v>
      </c>
      <c r="D93" s="64">
        <v>102</v>
      </c>
      <c r="L93" s="322"/>
      <c r="M93" s="249"/>
    </row>
    <row r="94" spans="2:13" x14ac:dyDescent="0.3">
      <c r="B94" s="10" t="s">
        <v>53</v>
      </c>
      <c r="C94" s="11" t="s">
        <v>169</v>
      </c>
      <c r="D94" s="64">
        <v>84.402000000000001</v>
      </c>
      <c r="L94" s="322"/>
      <c r="M94" s="249"/>
    </row>
    <row r="95" spans="2:13" x14ac:dyDescent="0.3">
      <c r="B95" s="10" t="s">
        <v>57</v>
      </c>
      <c r="C95" s="11" t="s">
        <v>170</v>
      </c>
      <c r="D95" s="64">
        <v>97.669800000000009</v>
      </c>
      <c r="L95" s="322"/>
      <c r="M95" s="249"/>
    </row>
    <row r="96" spans="2:13" x14ac:dyDescent="0.3">
      <c r="B96" s="10" t="s">
        <v>59</v>
      </c>
      <c r="C96" s="11" t="s">
        <v>171</v>
      </c>
      <c r="D96" s="64">
        <v>95.547600000000003</v>
      </c>
      <c r="L96" s="322"/>
      <c r="M96" s="249"/>
    </row>
    <row r="97" spans="2:13" x14ac:dyDescent="0.3">
      <c r="B97" s="10" t="s">
        <v>268</v>
      </c>
      <c r="C97" s="11" t="s">
        <v>172</v>
      </c>
      <c r="D97" s="64">
        <v>99.532799999999995</v>
      </c>
      <c r="L97" s="322"/>
      <c r="M97" s="249"/>
    </row>
    <row r="98" spans="2:13" x14ac:dyDescent="0.3">
      <c r="B98" s="10" t="s">
        <v>51</v>
      </c>
      <c r="C98" s="11" t="s">
        <v>173</v>
      </c>
      <c r="D98" s="64">
        <v>95.823000000000008</v>
      </c>
      <c r="L98" s="322"/>
      <c r="M98" s="249"/>
    </row>
    <row r="99" spans="2:13" x14ac:dyDescent="0.3">
      <c r="B99" s="10" t="s">
        <v>51</v>
      </c>
      <c r="C99" s="11" t="s">
        <v>174</v>
      </c>
      <c r="D99" s="64">
        <v>93.96</v>
      </c>
      <c r="L99" s="322"/>
      <c r="M99" s="249"/>
    </row>
    <row r="100" spans="2:13" x14ac:dyDescent="0.3">
      <c r="B100" s="10" t="s">
        <v>75</v>
      </c>
      <c r="C100" s="11" t="s">
        <v>76</v>
      </c>
      <c r="D100" s="64">
        <v>98.831999999999994</v>
      </c>
      <c r="L100" s="322"/>
      <c r="M100" s="249"/>
    </row>
    <row r="101" spans="2:13" x14ac:dyDescent="0.3">
      <c r="B101" s="10" t="s">
        <v>57</v>
      </c>
      <c r="C101" s="11" t="s">
        <v>175</v>
      </c>
      <c r="D101" s="64">
        <v>104.1336</v>
      </c>
      <c r="L101" s="322"/>
      <c r="M101" s="249"/>
    </row>
    <row r="102" spans="2:13" x14ac:dyDescent="0.3">
      <c r="B102" s="10" t="s">
        <v>53</v>
      </c>
      <c r="C102" s="11" t="s">
        <v>176</v>
      </c>
      <c r="D102" s="64">
        <v>92.582999999999998</v>
      </c>
      <c r="L102" s="322"/>
      <c r="M102" s="249"/>
    </row>
    <row r="103" spans="2:13" x14ac:dyDescent="0.3">
      <c r="B103" s="10" t="s">
        <v>55</v>
      </c>
      <c r="C103" s="11" t="s">
        <v>177</v>
      </c>
      <c r="D103" s="64">
        <v>95.547600000000003</v>
      </c>
      <c r="L103" s="322"/>
      <c r="M103" s="249"/>
    </row>
    <row r="104" spans="2:13" x14ac:dyDescent="0.3">
      <c r="B104" s="10" t="s">
        <v>59</v>
      </c>
      <c r="C104" s="11" t="s">
        <v>178</v>
      </c>
      <c r="D104" s="64">
        <v>95.547600000000003</v>
      </c>
      <c r="L104" s="322"/>
      <c r="M104" s="249"/>
    </row>
    <row r="105" spans="2:13" x14ac:dyDescent="0.3">
      <c r="B105" s="10" t="s">
        <v>269</v>
      </c>
      <c r="C105" s="11" t="s">
        <v>270</v>
      </c>
      <c r="D105" s="64"/>
      <c r="L105" s="322"/>
      <c r="M105" s="249"/>
    </row>
    <row r="106" spans="2:13" x14ac:dyDescent="0.3">
      <c r="B106" s="10" t="s">
        <v>44</v>
      </c>
      <c r="C106" s="11" t="s">
        <v>270</v>
      </c>
      <c r="D106" s="64"/>
      <c r="L106" s="322"/>
      <c r="M106" s="249"/>
    </row>
    <row r="107" spans="2:13" x14ac:dyDescent="0.3">
      <c r="B107" s="250"/>
      <c r="L107" s="322"/>
      <c r="M107" s="249"/>
    </row>
    <row r="108" spans="2:13" x14ac:dyDescent="0.3">
      <c r="B108" s="250"/>
      <c r="L108" s="322"/>
      <c r="M108" s="249"/>
    </row>
    <row r="109" spans="2:13" x14ac:dyDescent="0.3">
      <c r="B109" s="250"/>
      <c r="L109" s="322"/>
      <c r="M109" s="249"/>
    </row>
    <row r="110" spans="2:13" x14ac:dyDescent="0.3">
      <c r="B110" s="250"/>
      <c r="M110" s="249"/>
    </row>
    <row r="111" spans="2:13" x14ac:dyDescent="0.3">
      <c r="B111" s="250"/>
      <c r="M111" s="249"/>
    </row>
    <row r="112" spans="2:13" x14ac:dyDescent="0.3">
      <c r="B112" s="250"/>
      <c r="M112" s="249"/>
    </row>
    <row r="113" spans="2:13" x14ac:dyDescent="0.3">
      <c r="B113" s="250"/>
      <c r="M113" s="249"/>
    </row>
    <row r="114" spans="2:13" x14ac:dyDescent="0.3">
      <c r="B114" s="250"/>
      <c r="M114" s="249"/>
    </row>
    <row r="115" spans="2:13" ht="21" x14ac:dyDescent="0.3">
      <c r="B115" s="65" t="s">
        <v>271</v>
      </c>
      <c r="C115" s="65" t="s">
        <v>272</v>
      </c>
      <c r="M115" s="249"/>
    </row>
    <row r="116" spans="2:13" x14ac:dyDescent="0.3">
      <c r="B116" s="8" t="s">
        <v>251</v>
      </c>
      <c r="C116" s="9">
        <f>'BASE BID'!D$11</f>
        <v>0</v>
      </c>
      <c r="M116" s="249"/>
    </row>
    <row r="117" spans="2:13" x14ac:dyDescent="0.3">
      <c r="B117" s="8" t="s">
        <v>250</v>
      </c>
      <c r="C117" s="9">
        <f>'BASE BID'!D$12</f>
        <v>0.05</v>
      </c>
      <c r="M117" s="249"/>
    </row>
    <row r="118" spans="2:13" x14ac:dyDescent="0.3">
      <c r="B118" s="8" t="s">
        <v>249</v>
      </c>
      <c r="C118" s="9">
        <f>'BASE BID'!D$12</f>
        <v>0.05</v>
      </c>
      <c r="M118" s="249"/>
    </row>
    <row r="119" spans="2:13" x14ac:dyDescent="0.3">
      <c r="B119" s="8" t="s">
        <v>273</v>
      </c>
      <c r="C119" s="9">
        <f>'BASE BID'!D$12</f>
        <v>0.05</v>
      </c>
      <c r="M119" s="249"/>
    </row>
    <row r="120" spans="2:13" x14ac:dyDescent="0.3">
      <c r="B120" s="8" t="s">
        <v>253</v>
      </c>
      <c r="C120" s="9">
        <f>'BASE BID'!D$12</f>
        <v>0.05</v>
      </c>
      <c r="M120" s="249"/>
    </row>
    <row r="121" spans="2:13" x14ac:dyDescent="0.3">
      <c r="B121" s="8" t="s">
        <v>254</v>
      </c>
      <c r="C121" s="9">
        <f>'BASE BID'!D$12</f>
        <v>0.05</v>
      </c>
      <c r="M121" s="249"/>
    </row>
    <row r="122" spans="2:13" x14ac:dyDescent="0.3">
      <c r="B122" s="8" t="s">
        <v>252</v>
      </c>
      <c r="C122" s="9">
        <f>'BASE BID'!D$12</f>
        <v>0.05</v>
      </c>
      <c r="M122" s="249"/>
    </row>
    <row r="123" spans="2:13" x14ac:dyDescent="0.3">
      <c r="B123" s="8" t="s">
        <v>224</v>
      </c>
      <c r="C123" s="9">
        <f>'BASE BID'!D$11</f>
        <v>0</v>
      </c>
      <c r="M123" s="249"/>
    </row>
    <row r="124" spans="2:13" x14ac:dyDescent="0.3">
      <c r="B124" s="8"/>
      <c r="C124" s="8"/>
      <c r="M124" s="249"/>
    </row>
    <row r="125" spans="2:13" x14ac:dyDescent="0.3">
      <c r="B125" s="8"/>
      <c r="C125" s="8"/>
      <c r="M125" s="249"/>
    </row>
    <row r="126" spans="2:13" x14ac:dyDescent="0.3">
      <c r="B126" s="8"/>
      <c r="C126" s="8"/>
      <c r="D126" s="251"/>
      <c r="E126" s="251"/>
      <c r="F126" s="251"/>
      <c r="G126" s="251"/>
      <c r="H126" s="251"/>
      <c r="I126" s="251"/>
      <c r="J126" s="251"/>
      <c r="K126" s="251"/>
      <c r="L126" s="251"/>
      <c r="M126" s="252"/>
    </row>
  </sheetData>
  <sortState xmlns:xlrd2="http://schemas.microsoft.com/office/spreadsheetml/2017/richdata2" ref="B8:D104">
    <sortCondition ref="C8:C97"/>
  </sortState>
  <mergeCells count="3">
    <mergeCell ref="B2:M3"/>
    <mergeCell ref="B4:M4"/>
    <mergeCell ref="F6:J6"/>
  </mergeCells>
  <hyperlinks>
    <hyperlink ref="F6:I6" location="'COST SUMMARY'!A1" display="CLICK HERE TO GO BACK TO COST SUMMARY" xr:uid="{00000000-0004-0000-0600-000000000000}"/>
  </hyperlinks>
  <pageMargins left="0.25" right="0.25" top="0.75" bottom="0.75" header="0.3" footer="0.3"/>
  <pageSetup scale="56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EP142"/>
  <sheetViews>
    <sheetView workbookViewId="0">
      <selection activeCell="B3" sqref="B3"/>
    </sheetView>
  </sheetViews>
  <sheetFormatPr defaultColWidth="8.81640625" defaultRowHeight="14.4" x14ac:dyDescent="0.3"/>
  <cols>
    <col min="1" max="16384" width="8.81640625" style="20"/>
  </cols>
  <sheetData>
    <row r="1" spans="1:146" x14ac:dyDescent="0.3">
      <c r="A1" s="20" t="s">
        <v>274</v>
      </c>
      <c r="B1" s="20" t="s">
        <v>275</v>
      </c>
      <c r="C1" s="20" t="s">
        <v>276</v>
      </c>
      <c r="D1" s="21" t="s">
        <v>4</v>
      </c>
      <c r="E1" s="21" t="s">
        <v>277</v>
      </c>
      <c r="F1" s="20" t="s">
        <v>278</v>
      </c>
      <c r="G1" s="20" t="s">
        <v>279</v>
      </c>
      <c r="H1" s="20" t="s">
        <v>280</v>
      </c>
      <c r="I1" s="20" t="s">
        <v>281</v>
      </c>
      <c r="J1" s="20" t="s">
        <v>282</v>
      </c>
      <c r="K1" s="20" t="s">
        <v>283</v>
      </c>
      <c r="L1" s="20" t="s">
        <v>284</v>
      </c>
      <c r="M1" s="20" t="s">
        <v>285</v>
      </c>
      <c r="N1" s="20" t="s">
        <v>286</v>
      </c>
      <c r="O1" s="20" t="s">
        <v>287</v>
      </c>
      <c r="P1" s="20" t="s">
        <v>288</v>
      </c>
      <c r="Q1" s="20" t="s">
        <v>289</v>
      </c>
      <c r="R1" s="20" t="s">
        <v>290</v>
      </c>
      <c r="S1" s="20" t="s">
        <v>291</v>
      </c>
      <c r="T1" s="20" t="s">
        <v>292</v>
      </c>
      <c r="U1" s="20" t="s">
        <v>293</v>
      </c>
      <c r="V1" s="20" t="s">
        <v>294</v>
      </c>
      <c r="W1" s="20" t="s">
        <v>295</v>
      </c>
      <c r="X1" s="20" t="s">
        <v>296</v>
      </c>
      <c r="Y1" s="20" t="s">
        <v>297</v>
      </c>
      <c r="Z1" s="20" t="s">
        <v>298</v>
      </c>
      <c r="AA1" s="20" t="s">
        <v>299</v>
      </c>
      <c r="AB1" s="20" t="s">
        <v>300</v>
      </c>
      <c r="AC1" s="20" t="s">
        <v>301</v>
      </c>
      <c r="AD1" s="20" t="s">
        <v>302</v>
      </c>
      <c r="AE1" s="20" t="s">
        <v>303</v>
      </c>
      <c r="AF1" s="20" t="s">
        <v>304</v>
      </c>
      <c r="AG1" s="20" t="s">
        <v>305</v>
      </c>
      <c r="AH1" s="20" t="s">
        <v>306</v>
      </c>
      <c r="AI1" s="20" t="s">
        <v>307</v>
      </c>
      <c r="AJ1" s="20" t="s">
        <v>308</v>
      </c>
      <c r="AK1" s="20" t="s">
        <v>309</v>
      </c>
      <c r="AL1" s="20" t="s">
        <v>310</v>
      </c>
      <c r="AM1" s="20" t="s">
        <v>311</v>
      </c>
      <c r="AN1" s="20" t="s">
        <v>312</v>
      </c>
      <c r="AO1" s="20" t="s">
        <v>313</v>
      </c>
      <c r="AP1" s="20" t="s">
        <v>314</v>
      </c>
      <c r="AQ1" s="20" t="s">
        <v>315</v>
      </c>
      <c r="AR1" s="20" t="s">
        <v>316</v>
      </c>
      <c r="AS1" s="20" t="s">
        <v>317</v>
      </c>
      <c r="AT1" s="20" t="s">
        <v>318</v>
      </c>
      <c r="AU1" s="20" t="s">
        <v>319</v>
      </c>
      <c r="AV1" s="20" t="s">
        <v>320</v>
      </c>
      <c r="AW1" s="20" t="s">
        <v>321</v>
      </c>
      <c r="AX1" s="20" t="s">
        <v>322</v>
      </c>
      <c r="AY1" s="20" t="s">
        <v>323</v>
      </c>
      <c r="AZ1" s="20" t="s">
        <v>324</v>
      </c>
      <c r="BA1" s="20" t="s">
        <v>325</v>
      </c>
      <c r="BB1" s="20" t="s">
        <v>326</v>
      </c>
      <c r="BC1" s="20" t="s">
        <v>327</v>
      </c>
      <c r="BD1" s="20" t="s">
        <v>328</v>
      </c>
      <c r="BE1" s="20" t="s">
        <v>329</v>
      </c>
      <c r="BF1" s="20" t="s">
        <v>330</v>
      </c>
      <c r="BG1" s="20" t="s">
        <v>331</v>
      </c>
      <c r="BH1" s="20" t="s">
        <v>332</v>
      </c>
      <c r="BI1" s="20" t="s">
        <v>333</v>
      </c>
      <c r="BJ1" s="20" t="s">
        <v>334</v>
      </c>
      <c r="BK1" s="20" t="s">
        <v>335</v>
      </c>
      <c r="BL1" s="20" t="s">
        <v>336</v>
      </c>
      <c r="BM1" s="20" t="s">
        <v>337</v>
      </c>
      <c r="BN1" s="20" t="s">
        <v>338</v>
      </c>
      <c r="BO1" s="20" t="s">
        <v>339</v>
      </c>
      <c r="BP1" s="20" t="s">
        <v>340</v>
      </c>
      <c r="BQ1" s="20" t="s">
        <v>341</v>
      </c>
      <c r="BR1" s="20" t="s">
        <v>342</v>
      </c>
      <c r="BS1" s="20" t="s">
        <v>343</v>
      </c>
      <c r="BT1" s="20" t="s">
        <v>344</v>
      </c>
      <c r="BU1" s="20" t="s">
        <v>345</v>
      </c>
      <c r="BV1" s="20" t="s">
        <v>346</v>
      </c>
      <c r="BW1" s="20" t="s">
        <v>347</v>
      </c>
      <c r="BX1" s="20" t="s">
        <v>348</v>
      </c>
      <c r="BY1" s="20" t="s">
        <v>349</v>
      </c>
      <c r="BZ1" s="20" t="s">
        <v>350</v>
      </c>
      <c r="CA1" s="20" t="s">
        <v>351</v>
      </c>
      <c r="CB1" s="20" t="s">
        <v>352</v>
      </c>
      <c r="CC1" s="20" t="s">
        <v>353</v>
      </c>
      <c r="CD1" s="20" t="s">
        <v>354</v>
      </c>
      <c r="CE1" s="20" t="s">
        <v>355</v>
      </c>
      <c r="CF1" s="20" t="s">
        <v>356</v>
      </c>
      <c r="CG1" s="20" t="s">
        <v>357</v>
      </c>
      <c r="CH1" s="20" t="s">
        <v>358</v>
      </c>
      <c r="CI1" s="20" t="s">
        <v>359</v>
      </c>
      <c r="CJ1" s="20" t="s">
        <v>360</v>
      </c>
      <c r="CK1" s="20" t="s">
        <v>361</v>
      </c>
      <c r="CL1" s="20" t="s">
        <v>362</v>
      </c>
      <c r="CM1" s="20" t="s">
        <v>363</v>
      </c>
      <c r="CN1" s="20" t="s">
        <v>364</v>
      </c>
      <c r="CO1" s="20" t="s">
        <v>365</v>
      </c>
      <c r="CP1" s="20" t="s">
        <v>366</v>
      </c>
      <c r="CQ1" s="20" t="s">
        <v>367</v>
      </c>
      <c r="CR1" s="20" t="s">
        <v>368</v>
      </c>
      <c r="CS1" s="20" t="s">
        <v>369</v>
      </c>
      <c r="CT1" s="20" t="s">
        <v>370</v>
      </c>
      <c r="CU1" s="20" t="s">
        <v>371</v>
      </c>
      <c r="CV1" s="20" t="s">
        <v>372</v>
      </c>
      <c r="CW1" s="20" t="s">
        <v>373</v>
      </c>
      <c r="CX1" s="20" t="s">
        <v>374</v>
      </c>
      <c r="CY1" s="20" t="s">
        <v>375</v>
      </c>
      <c r="CZ1" s="20" t="s">
        <v>376</v>
      </c>
      <c r="DA1" s="20" t="s">
        <v>377</v>
      </c>
      <c r="DB1" s="20" t="s">
        <v>378</v>
      </c>
      <c r="DC1" s="20" t="s">
        <v>379</v>
      </c>
      <c r="DD1" s="20" t="s">
        <v>380</v>
      </c>
      <c r="DE1" s="20" t="s">
        <v>381</v>
      </c>
      <c r="DF1" s="20" t="s">
        <v>382</v>
      </c>
      <c r="DG1" s="20" t="s">
        <v>383</v>
      </c>
      <c r="DH1" s="20" t="s">
        <v>384</v>
      </c>
      <c r="DI1" s="20" t="s">
        <v>385</v>
      </c>
      <c r="DJ1" s="20" t="s">
        <v>386</v>
      </c>
      <c r="DK1" s="20" t="s">
        <v>387</v>
      </c>
      <c r="DL1" s="20" t="s">
        <v>388</v>
      </c>
      <c r="DM1" s="20" t="s">
        <v>389</v>
      </c>
      <c r="DN1" s="20" t="s">
        <v>390</v>
      </c>
      <c r="DO1" s="20" t="s">
        <v>391</v>
      </c>
      <c r="DP1" s="20" t="s">
        <v>392</v>
      </c>
      <c r="DQ1" s="20" t="s">
        <v>393</v>
      </c>
      <c r="DR1" s="20" t="s">
        <v>394</v>
      </c>
      <c r="DS1" s="20" t="s">
        <v>395</v>
      </c>
      <c r="DT1" s="20" t="s">
        <v>396</v>
      </c>
      <c r="DU1" s="20" t="s">
        <v>397</v>
      </c>
      <c r="DV1" s="20" t="s">
        <v>398</v>
      </c>
      <c r="DW1" s="20" t="s">
        <v>399</v>
      </c>
      <c r="DX1" s="20" t="s">
        <v>400</v>
      </c>
      <c r="DY1" s="20" t="s">
        <v>401</v>
      </c>
      <c r="DZ1" s="20" t="s">
        <v>402</v>
      </c>
      <c r="EA1" s="20" t="s">
        <v>403</v>
      </c>
      <c r="EB1" s="20" t="s">
        <v>404</v>
      </c>
      <c r="EC1" s="20" t="s">
        <v>405</v>
      </c>
      <c r="ED1" s="20" t="s">
        <v>406</v>
      </c>
      <c r="EE1" s="20" t="s">
        <v>407</v>
      </c>
      <c r="EF1" s="20" t="s">
        <v>408</v>
      </c>
      <c r="EG1" s="20" t="s">
        <v>409</v>
      </c>
      <c r="EH1" s="20" t="s">
        <v>410</v>
      </c>
      <c r="EI1" s="20" t="s">
        <v>411</v>
      </c>
      <c r="EJ1" s="20" t="s">
        <v>412</v>
      </c>
      <c r="EK1" s="20" t="s">
        <v>413</v>
      </c>
      <c r="EL1" s="20" t="s">
        <v>414</v>
      </c>
      <c r="EM1" s="20" t="s">
        <v>415</v>
      </c>
      <c r="EN1" s="20" t="s">
        <v>416</v>
      </c>
      <c r="EO1" s="20" t="s">
        <v>417</v>
      </c>
      <c r="EP1" s="20" t="s">
        <v>418</v>
      </c>
    </row>
    <row r="2" spans="1:146" x14ac:dyDescent="0.3">
      <c r="A2" s="20" t="s">
        <v>275</v>
      </c>
      <c r="B2" s="20" t="s">
        <v>419</v>
      </c>
      <c r="C2" s="20" t="s">
        <v>420</v>
      </c>
      <c r="D2" s="20" t="s">
        <v>421</v>
      </c>
      <c r="E2" s="20" t="s">
        <v>278</v>
      </c>
      <c r="F2" s="20" t="s">
        <v>422</v>
      </c>
      <c r="G2" s="20" t="s">
        <v>422</v>
      </c>
      <c r="H2" s="20" t="s">
        <v>422</v>
      </c>
      <c r="I2" s="20" t="s">
        <v>423</v>
      </c>
      <c r="J2" s="20" t="s">
        <v>424</v>
      </c>
      <c r="K2" s="20" t="s">
        <v>425</v>
      </c>
      <c r="L2" s="20" t="s">
        <v>425</v>
      </c>
      <c r="M2" s="20" t="s">
        <v>426</v>
      </c>
      <c r="N2" s="20" t="s">
        <v>427</v>
      </c>
      <c r="O2" s="20" t="s">
        <v>424</v>
      </c>
      <c r="P2" s="20" t="s">
        <v>428</v>
      </c>
      <c r="Q2" s="20" t="s">
        <v>429</v>
      </c>
      <c r="R2" s="20" t="s">
        <v>430</v>
      </c>
      <c r="S2" s="20" t="s">
        <v>422</v>
      </c>
      <c r="T2" s="20" t="s">
        <v>422</v>
      </c>
      <c r="U2" s="20" t="s">
        <v>427</v>
      </c>
      <c r="V2" s="20" t="s">
        <v>431</v>
      </c>
      <c r="W2" s="20" t="s">
        <v>431</v>
      </c>
      <c r="X2" s="20" t="s">
        <v>422</v>
      </c>
      <c r="Y2" s="20" t="s">
        <v>432</v>
      </c>
      <c r="Z2" s="20" t="s">
        <v>427</v>
      </c>
      <c r="AA2" s="20" t="s">
        <v>425</v>
      </c>
      <c r="AB2" s="20" t="s">
        <v>427</v>
      </c>
      <c r="AC2" s="20" t="s">
        <v>433</v>
      </c>
      <c r="AD2" s="20" t="s">
        <v>425</v>
      </c>
      <c r="AE2" s="20" t="s">
        <v>425</v>
      </c>
      <c r="AF2" s="20" t="s">
        <v>434</v>
      </c>
      <c r="AG2" s="20" t="s">
        <v>435</v>
      </c>
      <c r="AH2" s="20" t="s">
        <v>436</v>
      </c>
      <c r="AI2" s="20" t="s">
        <v>427</v>
      </c>
      <c r="AJ2" s="20" t="s">
        <v>427</v>
      </c>
      <c r="AK2" s="20" t="s">
        <v>437</v>
      </c>
      <c r="AL2" s="20" t="s">
        <v>437</v>
      </c>
      <c r="AM2" s="20" t="s">
        <v>438</v>
      </c>
      <c r="AN2" s="20" t="s">
        <v>438</v>
      </c>
      <c r="AO2" s="20" t="s">
        <v>438</v>
      </c>
      <c r="AP2" s="20" t="s">
        <v>439</v>
      </c>
      <c r="AQ2" s="20" t="s">
        <v>440</v>
      </c>
      <c r="AR2" s="20" t="s">
        <v>441</v>
      </c>
      <c r="AS2" s="20" t="s">
        <v>438</v>
      </c>
      <c r="AT2" s="20" t="s">
        <v>440</v>
      </c>
      <c r="AU2" s="20" t="s">
        <v>440</v>
      </c>
      <c r="AV2" s="20" t="s">
        <v>424</v>
      </c>
      <c r="AW2" s="20" t="s">
        <v>429</v>
      </c>
      <c r="AX2" s="20" t="s">
        <v>422</v>
      </c>
      <c r="AY2" s="20" t="s">
        <v>422</v>
      </c>
      <c r="AZ2" s="20" t="s">
        <v>422</v>
      </c>
      <c r="BA2" s="20" t="s">
        <v>442</v>
      </c>
      <c r="BB2" s="20" t="s">
        <v>427</v>
      </c>
      <c r="BC2" s="20" t="s">
        <v>425</v>
      </c>
      <c r="BD2" s="20" t="s">
        <v>425</v>
      </c>
      <c r="BE2" s="20" t="s">
        <v>422</v>
      </c>
      <c r="BF2" s="20" t="s">
        <v>443</v>
      </c>
      <c r="BG2" s="20" t="s">
        <v>422</v>
      </c>
      <c r="BH2" s="20" t="s">
        <v>429</v>
      </c>
      <c r="BI2" s="20" t="s">
        <v>438</v>
      </c>
      <c r="BJ2" s="20" t="s">
        <v>438</v>
      </c>
      <c r="BK2" s="20" t="s">
        <v>429</v>
      </c>
      <c r="BL2" s="20" t="s">
        <v>429</v>
      </c>
      <c r="BM2" s="20" t="s">
        <v>444</v>
      </c>
      <c r="BN2" s="20" t="s">
        <v>445</v>
      </c>
      <c r="BO2" s="20" t="s">
        <v>422</v>
      </c>
      <c r="BP2" s="20" t="s">
        <v>443</v>
      </c>
      <c r="BQ2" s="20" t="s">
        <v>422</v>
      </c>
      <c r="BR2" s="20" t="s">
        <v>446</v>
      </c>
      <c r="BS2" s="20" t="s">
        <v>422</v>
      </c>
      <c r="BT2" s="20" t="s">
        <v>429</v>
      </c>
      <c r="BU2" s="20" t="s">
        <v>422</v>
      </c>
      <c r="BV2" s="20" t="s">
        <v>425</v>
      </c>
      <c r="BW2" s="20" t="s">
        <v>447</v>
      </c>
      <c r="BX2" s="20" t="s">
        <v>427</v>
      </c>
      <c r="BY2" s="20" t="s">
        <v>427</v>
      </c>
      <c r="BZ2" s="20" t="s">
        <v>448</v>
      </c>
      <c r="CA2" s="20" t="s">
        <v>427</v>
      </c>
      <c r="CB2" s="20" t="s">
        <v>447</v>
      </c>
      <c r="CC2" s="20" t="s">
        <v>449</v>
      </c>
      <c r="CD2" s="20" t="s">
        <v>429</v>
      </c>
      <c r="CE2" s="20" t="s">
        <v>450</v>
      </c>
      <c r="CF2" s="20" t="s">
        <v>451</v>
      </c>
      <c r="CG2" s="20" t="s">
        <v>422</v>
      </c>
      <c r="CH2" s="20" t="s">
        <v>427</v>
      </c>
      <c r="CI2" s="20" t="s">
        <v>422</v>
      </c>
      <c r="CJ2" s="20" t="s">
        <v>431</v>
      </c>
      <c r="CK2" s="20" t="s">
        <v>422</v>
      </c>
      <c r="CL2" s="20" t="s">
        <v>427</v>
      </c>
      <c r="CM2" s="20" t="s">
        <v>427</v>
      </c>
      <c r="CN2" s="20" t="s">
        <v>427</v>
      </c>
      <c r="CO2" s="20" t="s">
        <v>452</v>
      </c>
      <c r="CP2" s="20" t="s">
        <v>431</v>
      </c>
      <c r="CQ2" s="20" t="s">
        <v>425</v>
      </c>
      <c r="CR2" s="20" t="s">
        <v>422</v>
      </c>
      <c r="CS2" s="20" t="s">
        <v>422</v>
      </c>
      <c r="CT2" s="20" t="s">
        <v>453</v>
      </c>
      <c r="CU2" s="20" t="s">
        <v>454</v>
      </c>
      <c r="CV2" s="20" t="s">
        <v>427</v>
      </c>
      <c r="CW2" s="20" t="s">
        <v>429</v>
      </c>
      <c r="CX2" s="20" t="s">
        <v>425</v>
      </c>
      <c r="CY2" s="20" t="s">
        <v>443</v>
      </c>
      <c r="CZ2" s="20" t="s">
        <v>422</v>
      </c>
      <c r="DA2" s="20" t="s">
        <v>424</v>
      </c>
      <c r="DB2" s="20" t="s">
        <v>455</v>
      </c>
      <c r="DC2" s="20" t="s">
        <v>456</v>
      </c>
      <c r="DD2" s="20" t="s">
        <v>456</v>
      </c>
      <c r="DE2" s="20" t="s">
        <v>456</v>
      </c>
      <c r="DF2" s="20" t="s">
        <v>456</v>
      </c>
      <c r="DG2" s="20" t="s">
        <v>456</v>
      </c>
      <c r="DH2" s="20" t="s">
        <v>456</v>
      </c>
      <c r="DI2" s="20" t="s">
        <v>456</v>
      </c>
      <c r="DJ2" s="20" t="s">
        <v>456</v>
      </c>
      <c r="DK2" s="20" t="s">
        <v>456</v>
      </c>
      <c r="DL2" s="20" t="s">
        <v>456</v>
      </c>
      <c r="DM2" s="20" t="s">
        <v>456</v>
      </c>
      <c r="DN2" s="20" t="s">
        <v>456</v>
      </c>
      <c r="DO2" s="20" t="s">
        <v>456</v>
      </c>
      <c r="DP2" s="20" t="s">
        <v>456</v>
      </c>
      <c r="DQ2" s="20" t="s">
        <v>456</v>
      </c>
      <c r="DR2" s="20" t="s">
        <v>456</v>
      </c>
      <c r="DS2" s="20" t="s">
        <v>456</v>
      </c>
      <c r="DT2" s="20" t="s">
        <v>456</v>
      </c>
      <c r="DU2" s="20" t="s">
        <v>457</v>
      </c>
      <c r="DV2" s="20" t="s">
        <v>457</v>
      </c>
      <c r="DW2" s="20" t="s">
        <v>456</v>
      </c>
      <c r="DX2" s="20" t="s">
        <v>456</v>
      </c>
      <c r="DY2" s="20" t="s">
        <v>456</v>
      </c>
      <c r="DZ2" s="20" t="s">
        <v>456</v>
      </c>
      <c r="EA2" s="20" t="s">
        <v>456</v>
      </c>
      <c r="EB2" s="20" t="s">
        <v>456</v>
      </c>
      <c r="EC2" s="20" t="s">
        <v>456</v>
      </c>
      <c r="ED2" s="20" t="s">
        <v>456</v>
      </c>
      <c r="EE2" s="20" t="s">
        <v>456</v>
      </c>
      <c r="EF2" s="20" t="s">
        <v>456</v>
      </c>
      <c r="EG2" s="20" t="s">
        <v>456</v>
      </c>
      <c r="EH2" s="20" t="s">
        <v>456</v>
      </c>
      <c r="EI2" s="20" t="s">
        <v>456</v>
      </c>
      <c r="EJ2" s="20" t="s">
        <v>456</v>
      </c>
      <c r="EK2" s="20" t="s">
        <v>456</v>
      </c>
      <c r="EL2" s="20" t="s">
        <v>456</v>
      </c>
      <c r="EM2" s="20" t="s">
        <v>456</v>
      </c>
      <c r="EN2" s="20" t="s">
        <v>456</v>
      </c>
      <c r="EO2" s="20" t="s">
        <v>456</v>
      </c>
      <c r="EP2" s="20" t="s">
        <v>456</v>
      </c>
    </row>
    <row r="3" spans="1:146" x14ac:dyDescent="0.3">
      <c r="A3" s="20" t="s">
        <v>276</v>
      </c>
      <c r="C3" s="20" t="s">
        <v>458</v>
      </c>
      <c r="D3" s="20" t="s">
        <v>459</v>
      </c>
      <c r="E3" s="20" t="s">
        <v>279</v>
      </c>
      <c r="F3" s="20" t="s">
        <v>447</v>
      </c>
      <c r="G3" s="20" t="s">
        <v>447</v>
      </c>
      <c r="H3" s="20" t="s">
        <v>447</v>
      </c>
      <c r="I3" s="20" t="s">
        <v>460</v>
      </c>
      <c r="J3" s="20" t="s">
        <v>461</v>
      </c>
      <c r="K3" s="20" t="s">
        <v>462</v>
      </c>
      <c r="L3" s="20" t="s">
        <v>462</v>
      </c>
      <c r="M3" s="20" t="s">
        <v>463</v>
      </c>
      <c r="N3" s="20" t="s">
        <v>464</v>
      </c>
      <c r="O3" s="20" t="s">
        <v>461</v>
      </c>
      <c r="P3" s="20" t="s">
        <v>465</v>
      </c>
      <c r="Q3" s="20" t="s">
        <v>466</v>
      </c>
      <c r="R3" s="20" t="s">
        <v>467</v>
      </c>
      <c r="S3" s="20" t="s">
        <v>468</v>
      </c>
      <c r="T3" s="20" t="s">
        <v>468</v>
      </c>
      <c r="U3" s="20" t="s">
        <v>464</v>
      </c>
      <c r="V3" s="20" t="s">
        <v>464</v>
      </c>
      <c r="W3" s="20" t="s">
        <v>464</v>
      </c>
      <c r="X3" s="20" t="s">
        <v>468</v>
      </c>
      <c r="Y3" s="20" t="s">
        <v>469</v>
      </c>
      <c r="Z3" s="20" t="s">
        <v>464</v>
      </c>
      <c r="AA3" s="20" t="s">
        <v>462</v>
      </c>
      <c r="AB3" s="20" t="s">
        <v>464</v>
      </c>
      <c r="AC3" s="20" t="s">
        <v>470</v>
      </c>
      <c r="AD3" s="20" t="s">
        <v>462</v>
      </c>
      <c r="AE3" s="20" t="s">
        <v>462</v>
      </c>
      <c r="AF3" s="20" t="s">
        <v>427</v>
      </c>
      <c r="AG3" s="20" t="s">
        <v>461</v>
      </c>
      <c r="AH3" s="20" t="s">
        <v>471</v>
      </c>
      <c r="AI3" s="20" t="s">
        <v>430</v>
      </c>
      <c r="AJ3" s="20" t="s">
        <v>430</v>
      </c>
      <c r="AK3" s="20" t="s">
        <v>472</v>
      </c>
      <c r="AL3" s="20" t="s">
        <v>472</v>
      </c>
      <c r="AM3" s="20" t="s">
        <v>473</v>
      </c>
      <c r="AN3" s="20" t="s">
        <v>429</v>
      </c>
      <c r="AO3" s="20" t="s">
        <v>429</v>
      </c>
      <c r="AP3" s="20" t="s">
        <v>445</v>
      </c>
      <c r="AQ3" s="20" t="s">
        <v>442</v>
      </c>
      <c r="AR3" s="20" t="s">
        <v>474</v>
      </c>
      <c r="AS3" s="20" t="s">
        <v>449</v>
      </c>
      <c r="AT3" s="20" t="s">
        <v>461</v>
      </c>
      <c r="AU3" s="20" t="s">
        <v>461</v>
      </c>
      <c r="AV3" s="20" t="s">
        <v>461</v>
      </c>
      <c r="AW3" s="20" t="s">
        <v>470</v>
      </c>
      <c r="AX3" s="20" t="s">
        <v>470</v>
      </c>
      <c r="AY3" s="20" t="s">
        <v>470</v>
      </c>
      <c r="AZ3" s="20" t="s">
        <v>470</v>
      </c>
      <c r="BA3" s="20" t="s">
        <v>425</v>
      </c>
      <c r="BB3" s="20" t="s">
        <v>475</v>
      </c>
      <c r="BC3" s="20" t="s">
        <v>462</v>
      </c>
      <c r="BD3" s="20" t="s">
        <v>462</v>
      </c>
      <c r="BE3" s="20" t="s">
        <v>476</v>
      </c>
      <c r="BF3" s="20" t="s">
        <v>449</v>
      </c>
      <c r="BG3" s="20" t="s">
        <v>476</v>
      </c>
      <c r="BH3" s="20" t="s">
        <v>449</v>
      </c>
      <c r="BI3" s="20" t="s">
        <v>429</v>
      </c>
      <c r="BJ3" s="20" t="s">
        <v>429</v>
      </c>
      <c r="BK3" s="20" t="s">
        <v>437</v>
      </c>
      <c r="BL3" s="20" t="s">
        <v>437</v>
      </c>
      <c r="BM3" s="20" t="s">
        <v>472</v>
      </c>
      <c r="BN3" s="20" t="s">
        <v>462</v>
      </c>
      <c r="BO3" s="20" t="s">
        <v>476</v>
      </c>
      <c r="BP3" s="20" t="s">
        <v>477</v>
      </c>
      <c r="BQ3" s="20" t="s">
        <v>478</v>
      </c>
      <c r="BR3" s="20" t="s">
        <v>478</v>
      </c>
      <c r="BS3" s="20" t="s">
        <v>476</v>
      </c>
      <c r="BT3" s="20" t="s">
        <v>446</v>
      </c>
      <c r="BU3" s="20" t="s">
        <v>478</v>
      </c>
      <c r="BV3" s="20" t="s">
        <v>462</v>
      </c>
      <c r="BW3" s="20" t="s">
        <v>443</v>
      </c>
      <c r="BX3" s="20" t="s">
        <v>431</v>
      </c>
      <c r="BY3" s="20" t="s">
        <v>431</v>
      </c>
      <c r="BZ3" s="20" t="s">
        <v>479</v>
      </c>
      <c r="CA3" s="20" t="s">
        <v>475</v>
      </c>
      <c r="CB3" s="20" t="s">
        <v>461</v>
      </c>
      <c r="CC3" s="20" t="s">
        <v>480</v>
      </c>
      <c r="CF3" s="20" t="s">
        <v>481</v>
      </c>
      <c r="CG3" s="20" t="s">
        <v>482</v>
      </c>
      <c r="CH3" s="20" t="s">
        <v>475</v>
      </c>
      <c r="CI3" s="20" t="s">
        <v>482</v>
      </c>
      <c r="CJ3" s="20" t="s">
        <v>475</v>
      </c>
      <c r="CK3" s="20" t="s">
        <v>482</v>
      </c>
      <c r="CL3" s="20" t="s">
        <v>475</v>
      </c>
      <c r="CM3" s="20" t="s">
        <v>475</v>
      </c>
      <c r="CN3" s="20" t="s">
        <v>475</v>
      </c>
      <c r="CO3" s="20" t="s">
        <v>483</v>
      </c>
      <c r="CP3" s="20" t="s">
        <v>472</v>
      </c>
      <c r="CQ3" s="20" t="s">
        <v>462</v>
      </c>
      <c r="CR3" s="20" t="s">
        <v>484</v>
      </c>
      <c r="CS3" s="20" t="s">
        <v>478</v>
      </c>
      <c r="CT3" s="20" t="s">
        <v>462</v>
      </c>
      <c r="CU3" s="20" t="s">
        <v>485</v>
      </c>
      <c r="CV3" s="20" t="s">
        <v>475</v>
      </c>
      <c r="CW3" s="20" t="s">
        <v>486</v>
      </c>
      <c r="CX3" s="20" t="s">
        <v>462</v>
      </c>
      <c r="CY3" s="20" t="s">
        <v>487</v>
      </c>
      <c r="CZ3" s="20" t="s">
        <v>482</v>
      </c>
      <c r="DA3" s="20" t="s">
        <v>461</v>
      </c>
      <c r="DB3" s="20" t="s">
        <v>461</v>
      </c>
      <c r="DC3" s="20" t="s">
        <v>488</v>
      </c>
      <c r="DD3" s="20" t="s">
        <v>488</v>
      </c>
      <c r="DE3" s="20" t="s">
        <v>488</v>
      </c>
      <c r="DF3" s="20" t="s">
        <v>488</v>
      </c>
      <c r="DG3" s="20" t="s">
        <v>488</v>
      </c>
      <c r="DH3" s="20" t="s">
        <v>488</v>
      </c>
      <c r="DI3" s="20" t="s">
        <v>488</v>
      </c>
      <c r="DJ3" s="20" t="s">
        <v>488</v>
      </c>
      <c r="DK3" s="20" t="s">
        <v>489</v>
      </c>
      <c r="DL3" s="20" t="s">
        <v>489</v>
      </c>
      <c r="DM3" s="20" t="s">
        <v>489</v>
      </c>
      <c r="DN3" s="20" t="s">
        <v>489</v>
      </c>
      <c r="DO3" s="20" t="s">
        <v>489</v>
      </c>
      <c r="DP3" s="20" t="s">
        <v>489</v>
      </c>
      <c r="DQ3" s="20" t="s">
        <v>489</v>
      </c>
      <c r="DR3" s="20" t="s">
        <v>489</v>
      </c>
      <c r="DS3" s="20" t="s">
        <v>489</v>
      </c>
      <c r="DT3" s="20" t="s">
        <v>489</v>
      </c>
      <c r="DU3" s="20" t="s">
        <v>490</v>
      </c>
      <c r="DV3" s="20" t="s">
        <v>490</v>
      </c>
      <c r="DW3" s="20" t="s">
        <v>489</v>
      </c>
      <c r="DX3" s="20" t="s">
        <v>489</v>
      </c>
      <c r="DY3" s="20" t="s">
        <v>489</v>
      </c>
      <c r="DZ3" s="20" t="s">
        <v>489</v>
      </c>
      <c r="EA3" s="20" t="s">
        <v>489</v>
      </c>
      <c r="EB3" s="20" t="s">
        <v>489</v>
      </c>
      <c r="EC3" s="20" t="s">
        <v>489</v>
      </c>
      <c r="ED3" s="20" t="s">
        <v>489</v>
      </c>
      <c r="EE3" s="20" t="s">
        <v>489</v>
      </c>
      <c r="EF3" s="20" t="s">
        <v>489</v>
      </c>
      <c r="EG3" s="20" t="s">
        <v>491</v>
      </c>
      <c r="EH3" s="20" t="s">
        <v>491</v>
      </c>
      <c r="EI3" s="20" t="s">
        <v>491</v>
      </c>
      <c r="EJ3" s="20" t="s">
        <v>491</v>
      </c>
      <c r="EK3" s="20" t="s">
        <v>491</v>
      </c>
      <c r="EL3" s="20" t="s">
        <v>492</v>
      </c>
      <c r="EM3" s="20" t="s">
        <v>491</v>
      </c>
      <c r="EN3" s="20" t="s">
        <v>491</v>
      </c>
      <c r="EO3" s="20" t="s">
        <v>491</v>
      </c>
      <c r="EP3" s="20" t="s">
        <v>491</v>
      </c>
    </row>
    <row r="4" spans="1:146" x14ac:dyDescent="0.3">
      <c r="C4" s="20" t="s">
        <v>493</v>
      </c>
      <c r="D4" s="20" t="s">
        <v>494</v>
      </c>
      <c r="E4" s="20" t="s">
        <v>280</v>
      </c>
      <c r="F4" s="20" t="s">
        <v>495</v>
      </c>
      <c r="G4" s="20" t="s">
        <v>496</v>
      </c>
      <c r="H4" s="20" t="s">
        <v>496</v>
      </c>
      <c r="I4" s="20" t="s">
        <v>497</v>
      </c>
      <c r="J4" s="20" t="s">
        <v>498</v>
      </c>
      <c r="K4" s="20" t="s">
        <v>499</v>
      </c>
      <c r="L4" s="20" t="s">
        <v>499</v>
      </c>
      <c r="M4" s="20" t="s">
        <v>500</v>
      </c>
      <c r="N4" s="20" t="s">
        <v>445</v>
      </c>
      <c r="O4" s="20" t="s">
        <v>445</v>
      </c>
      <c r="P4" s="20" t="s">
        <v>501</v>
      </c>
      <c r="Q4" s="20" t="s">
        <v>502</v>
      </c>
      <c r="R4" s="20" t="s">
        <v>503</v>
      </c>
      <c r="S4" s="20" t="s">
        <v>504</v>
      </c>
      <c r="T4" s="20" t="s">
        <v>504</v>
      </c>
      <c r="U4" s="20" t="s">
        <v>445</v>
      </c>
      <c r="V4" s="20" t="s">
        <v>425</v>
      </c>
      <c r="W4" s="20" t="s">
        <v>425</v>
      </c>
      <c r="X4" s="20" t="s">
        <v>478</v>
      </c>
      <c r="Y4" s="20" t="s">
        <v>505</v>
      </c>
      <c r="Z4" s="20" t="s">
        <v>445</v>
      </c>
      <c r="AA4" s="20" t="s">
        <v>499</v>
      </c>
      <c r="AB4" s="20" t="s">
        <v>445</v>
      </c>
      <c r="AC4" s="20" t="s">
        <v>476</v>
      </c>
      <c r="AD4" s="20" t="s">
        <v>499</v>
      </c>
      <c r="AE4" s="20" t="s">
        <v>499</v>
      </c>
      <c r="AF4" s="20" t="s">
        <v>503</v>
      </c>
      <c r="AG4" s="20" t="s">
        <v>471</v>
      </c>
      <c r="AH4" s="20" t="s">
        <v>425</v>
      </c>
      <c r="AI4" s="20" t="s">
        <v>445</v>
      </c>
      <c r="AJ4" s="20" t="s">
        <v>445</v>
      </c>
      <c r="AK4" s="20" t="s">
        <v>506</v>
      </c>
      <c r="AL4" s="20" t="s">
        <v>506</v>
      </c>
      <c r="AM4" s="20" t="s">
        <v>445</v>
      </c>
      <c r="AN4" s="20" t="s">
        <v>507</v>
      </c>
      <c r="AO4" s="20" t="s">
        <v>507</v>
      </c>
      <c r="AP4" s="20" t="s">
        <v>462</v>
      </c>
      <c r="AQ4" s="20" t="s">
        <v>506</v>
      </c>
      <c r="AR4" s="20" t="s">
        <v>508</v>
      </c>
      <c r="AS4" s="20" t="s">
        <v>507</v>
      </c>
      <c r="AT4" s="20" t="s">
        <v>509</v>
      </c>
      <c r="AU4" s="20" t="s">
        <v>509</v>
      </c>
      <c r="AV4" s="20" t="s">
        <v>510</v>
      </c>
      <c r="AW4" s="20" t="s">
        <v>450</v>
      </c>
      <c r="AX4" s="20" t="s">
        <v>450</v>
      </c>
      <c r="AY4" s="20" t="s">
        <v>450</v>
      </c>
      <c r="AZ4" s="20" t="s">
        <v>450</v>
      </c>
      <c r="BA4" s="20" t="s">
        <v>462</v>
      </c>
      <c r="BB4" s="20" t="s">
        <v>445</v>
      </c>
      <c r="BC4" s="20" t="s">
        <v>499</v>
      </c>
      <c r="BD4" s="20" t="s">
        <v>499</v>
      </c>
      <c r="BE4" s="20" t="s">
        <v>451</v>
      </c>
      <c r="BF4" s="20" t="s">
        <v>507</v>
      </c>
      <c r="BG4" s="20" t="s">
        <v>451</v>
      </c>
      <c r="BH4" s="20" t="s">
        <v>480</v>
      </c>
      <c r="BI4" s="20" t="s">
        <v>511</v>
      </c>
      <c r="BJ4" s="20" t="s">
        <v>507</v>
      </c>
      <c r="BK4" s="20" t="s">
        <v>473</v>
      </c>
      <c r="BL4" s="20" t="s">
        <v>473</v>
      </c>
      <c r="BM4" s="20" t="s">
        <v>449</v>
      </c>
      <c r="BN4" s="20" t="s">
        <v>512</v>
      </c>
      <c r="BO4" s="20" t="s">
        <v>451</v>
      </c>
      <c r="BP4" s="20" t="s">
        <v>513</v>
      </c>
      <c r="BQ4" s="20" t="s">
        <v>450</v>
      </c>
      <c r="BR4" s="20" t="s">
        <v>425</v>
      </c>
      <c r="BS4" s="20" t="s">
        <v>451</v>
      </c>
      <c r="BT4" s="20" t="s">
        <v>478</v>
      </c>
      <c r="BU4" s="20" t="s">
        <v>450</v>
      </c>
      <c r="BV4" s="20" t="s">
        <v>499</v>
      </c>
      <c r="BW4" s="20" t="s">
        <v>427</v>
      </c>
      <c r="BX4" s="20" t="s">
        <v>453</v>
      </c>
      <c r="BY4" s="20" t="s">
        <v>453</v>
      </c>
      <c r="BZ4" s="20" t="s">
        <v>514</v>
      </c>
      <c r="CA4" s="20" t="s">
        <v>453</v>
      </c>
      <c r="CB4" s="20" t="s">
        <v>453</v>
      </c>
      <c r="CC4" s="20" t="s">
        <v>515</v>
      </c>
      <c r="CF4" s="20" t="s">
        <v>516</v>
      </c>
      <c r="CG4" s="20" t="s">
        <v>451</v>
      </c>
      <c r="CH4" s="20" t="s">
        <v>453</v>
      </c>
      <c r="CI4" s="20" t="s">
        <v>451</v>
      </c>
      <c r="CJ4" s="20" t="s">
        <v>425</v>
      </c>
      <c r="CK4" s="20" t="s">
        <v>451</v>
      </c>
      <c r="CL4" s="20" t="s">
        <v>453</v>
      </c>
      <c r="CM4" s="20" t="s">
        <v>453</v>
      </c>
      <c r="CN4" s="20" t="s">
        <v>453</v>
      </c>
      <c r="CO4" s="20" t="s">
        <v>517</v>
      </c>
      <c r="CP4" s="20" t="s">
        <v>425</v>
      </c>
      <c r="CQ4" s="20" t="s">
        <v>518</v>
      </c>
      <c r="CR4" s="20" t="s">
        <v>519</v>
      </c>
      <c r="CS4" s="20" t="s">
        <v>476</v>
      </c>
      <c r="CT4" s="20" t="s">
        <v>483</v>
      </c>
      <c r="CU4" s="20" t="s">
        <v>506</v>
      </c>
      <c r="CV4" s="20" t="s">
        <v>453</v>
      </c>
      <c r="CW4" s="20" t="s">
        <v>449</v>
      </c>
      <c r="CX4" s="20" t="s">
        <v>499</v>
      </c>
      <c r="CY4" s="20" t="s">
        <v>520</v>
      </c>
      <c r="CZ4" s="20" t="s">
        <v>510</v>
      </c>
      <c r="DA4" s="20" t="s">
        <v>445</v>
      </c>
      <c r="DB4" s="20" t="s">
        <v>483</v>
      </c>
      <c r="DC4" s="20" t="s">
        <v>521</v>
      </c>
      <c r="DD4" s="20" t="s">
        <v>521</v>
      </c>
      <c r="DE4" s="20" t="s">
        <v>521</v>
      </c>
      <c r="DF4" s="20" t="s">
        <v>521</v>
      </c>
      <c r="DG4" s="20" t="s">
        <v>521</v>
      </c>
      <c r="DH4" s="20" t="s">
        <v>521</v>
      </c>
      <c r="DI4" s="20" t="s">
        <v>521</v>
      </c>
      <c r="DJ4" s="20" t="s">
        <v>521</v>
      </c>
      <c r="DK4" s="20" t="s">
        <v>521</v>
      </c>
      <c r="DL4" s="20" t="s">
        <v>521</v>
      </c>
      <c r="DM4" s="20" t="s">
        <v>521</v>
      </c>
      <c r="DN4" s="20" t="s">
        <v>521</v>
      </c>
      <c r="DO4" s="20" t="s">
        <v>521</v>
      </c>
      <c r="DP4" s="20" t="s">
        <v>521</v>
      </c>
      <c r="DQ4" s="20" t="s">
        <v>521</v>
      </c>
      <c r="DR4" s="20" t="s">
        <v>521</v>
      </c>
      <c r="DS4" s="20" t="s">
        <v>521</v>
      </c>
      <c r="DT4" s="20" t="s">
        <v>521</v>
      </c>
      <c r="DW4" s="20" t="s">
        <v>522</v>
      </c>
      <c r="DX4" s="20" t="s">
        <v>522</v>
      </c>
      <c r="DY4" s="20" t="s">
        <v>522</v>
      </c>
      <c r="DZ4" s="20" t="s">
        <v>522</v>
      </c>
      <c r="EA4" s="20" t="s">
        <v>522</v>
      </c>
      <c r="EB4" s="20" t="s">
        <v>522</v>
      </c>
      <c r="EC4" s="20" t="s">
        <v>522</v>
      </c>
      <c r="ED4" s="20" t="s">
        <v>522</v>
      </c>
      <c r="EE4" s="20" t="s">
        <v>522</v>
      </c>
      <c r="EF4" s="20" t="s">
        <v>522</v>
      </c>
      <c r="EG4" s="20" t="s">
        <v>523</v>
      </c>
      <c r="EH4" s="20" t="s">
        <v>523</v>
      </c>
      <c r="EI4" s="20" t="s">
        <v>523</v>
      </c>
      <c r="EJ4" s="20" t="s">
        <v>523</v>
      </c>
      <c r="EK4" s="20" t="s">
        <v>523</v>
      </c>
      <c r="EL4" s="20" t="s">
        <v>524</v>
      </c>
      <c r="EM4" s="20" t="s">
        <v>523</v>
      </c>
      <c r="EN4" s="20" t="s">
        <v>523</v>
      </c>
      <c r="EO4" s="20" t="s">
        <v>523</v>
      </c>
      <c r="EP4" s="20" t="s">
        <v>523</v>
      </c>
    </row>
    <row r="5" spans="1:146" x14ac:dyDescent="0.3">
      <c r="C5" s="20" t="s">
        <v>525</v>
      </c>
      <c r="D5" s="20" t="s">
        <v>526</v>
      </c>
      <c r="E5" s="20" t="s">
        <v>281</v>
      </c>
      <c r="F5" s="20" t="s">
        <v>519</v>
      </c>
      <c r="G5" s="20" t="s">
        <v>495</v>
      </c>
      <c r="H5" s="20" t="s">
        <v>476</v>
      </c>
      <c r="I5" s="20" t="s">
        <v>527</v>
      </c>
      <c r="J5" s="20" t="s">
        <v>528</v>
      </c>
      <c r="K5" s="20" t="s">
        <v>529</v>
      </c>
      <c r="L5" s="20" t="s">
        <v>529</v>
      </c>
      <c r="M5" s="20" t="s">
        <v>530</v>
      </c>
      <c r="N5" s="20" t="s">
        <v>462</v>
      </c>
      <c r="O5" s="20" t="s">
        <v>462</v>
      </c>
      <c r="P5" s="20" t="s">
        <v>531</v>
      </c>
      <c r="Q5" s="20" t="s">
        <v>532</v>
      </c>
      <c r="R5" s="20" t="s">
        <v>533</v>
      </c>
      <c r="S5" s="20" t="s">
        <v>519</v>
      </c>
      <c r="T5" s="20" t="s">
        <v>519</v>
      </c>
      <c r="U5" s="20" t="s">
        <v>462</v>
      </c>
      <c r="V5" s="20" t="s">
        <v>462</v>
      </c>
      <c r="W5" s="20" t="s">
        <v>462</v>
      </c>
      <c r="X5" s="20" t="s">
        <v>476</v>
      </c>
      <c r="Y5" s="20" t="s">
        <v>476</v>
      </c>
      <c r="Z5" s="20" t="s">
        <v>462</v>
      </c>
      <c r="AA5" s="20" t="s">
        <v>529</v>
      </c>
      <c r="AB5" s="20" t="s">
        <v>462</v>
      </c>
      <c r="AC5" s="20" t="s">
        <v>534</v>
      </c>
      <c r="AD5" s="20" t="s">
        <v>529</v>
      </c>
      <c r="AE5" s="20" t="s">
        <v>529</v>
      </c>
      <c r="AF5" s="20" t="s">
        <v>535</v>
      </c>
      <c r="AG5" s="20" t="s">
        <v>536</v>
      </c>
      <c r="AH5" s="20" t="s">
        <v>462</v>
      </c>
      <c r="AI5" s="20" t="s">
        <v>449</v>
      </c>
      <c r="AJ5" s="20" t="s">
        <v>449</v>
      </c>
      <c r="AK5" s="20" t="s">
        <v>449</v>
      </c>
      <c r="AL5" s="20" t="s">
        <v>449</v>
      </c>
      <c r="AM5" s="20" t="s">
        <v>537</v>
      </c>
      <c r="AN5" s="20" t="s">
        <v>538</v>
      </c>
      <c r="AO5" s="20" t="s">
        <v>538</v>
      </c>
      <c r="AP5" s="20" t="s">
        <v>537</v>
      </c>
      <c r="AQ5" s="20" t="s">
        <v>462</v>
      </c>
      <c r="AR5" s="20" t="s">
        <v>539</v>
      </c>
      <c r="AS5" s="20" t="s">
        <v>540</v>
      </c>
      <c r="AT5" s="20" t="s">
        <v>462</v>
      </c>
      <c r="AU5" s="20" t="s">
        <v>462</v>
      </c>
      <c r="AV5" s="20" t="s">
        <v>483</v>
      </c>
      <c r="AW5" s="20" t="s">
        <v>519</v>
      </c>
      <c r="AX5" s="20" t="s">
        <v>451</v>
      </c>
      <c r="AY5" s="20" t="s">
        <v>451</v>
      </c>
      <c r="AZ5" s="20" t="s">
        <v>451</v>
      </c>
      <c r="BA5" s="20" t="s">
        <v>541</v>
      </c>
      <c r="BB5" s="20" t="s">
        <v>462</v>
      </c>
      <c r="BC5" s="20" t="s">
        <v>529</v>
      </c>
      <c r="BD5" s="20" t="s">
        <v>529</v>
      </c>
      <c r="BE5" s="20" t="s">
        <v>542</v>
      </c>
      <c r="BF5" s="20" t="s">
        <v>543</v>
      </c>
      <c r="BG5" s="20" t="s">
        <v>542</v>
      </c>
      <c r="BH5" s="20" t="s">
        <v>543</v>
      </c>
      <c r="BI5" s="20" t="s">
        <v>507</v>
      </c>
      <c r="BJ5" s="20" t="s">
        <v>544</v>
      </c>
      <c r="BK5" s="20" t="s">
        <v>545</v>
      </c>
      <c r="BL5" s="20" t="s">
        <v>545</v>
      </c>
      <c r="BM5" s="20" t="s">
        <v>546</v>
      </c>
      <c r="BN5" s="20" t="s">
        <v>547</v>
      </c>
      <c r="BO5" s="20" t="s">
        <v>542</v>
      </c>
      <c r="BP5" s="20" t="s">
        <v>507</v>
      </c>
      <c r="BQ5" s="20" t="s">
        <v>476</v>
      </c>
      <c r="BR5" s="20" t="s">
        <v>462</v>
      </c>
      <c r="BS5" s="20" t="s">
        <v>542</v>
      </c>
      <c r="BT5" s="20" t="s">
        <v>449</v>
      </c>
      <c r="BU5" s="20" t="s">
        <v>476</v>
      </c>
      <c r="BV5" s="20" t="s">
        <v>529</v>
      </c>
      <c r="BW5" s="20" t="s">
        <v>475</v>
      </c>
      <c r="BX5" s="20" t="s">
        <v>425</v>
      </c>
      <c r="BY5" s="20" t="s">
        <v>425</v>
      </c>
      <c r="BZ5" s="20" t="s">
        <v>548</v>
      </c>
      <c r="CA5" s="20" t="s">
        <v>462</v>
      </c>
      <c r="CB5" s="20" t="s">
        <v>462</v>
      </c>
      <c r="CC5" s="20" t="s">
        <v>549</v>
      </c>
      <c r="CF5" s="20" t="s">
        <v>550</v>
      </c>
      <c r="CG5" s="20" t="s">
        <v>510</v>
      </c>
      <c r="CH5" s="20" t="s">
        <v>462</v>
      </c>
      <c r="CI5" s="20" t="s">
        <v>510</v>
      </c>
      <c r="CJ5" s="20" t="s">
        <v>462</v>
      </c>
      <c r="CK5" s="20" t="s">
        <v>510</v>
      </c>
      <c r="CL5" s="20" t="s">
        <v>462</v>
      </c>
      <c r="CM5" s="20" t="s">
        <v>462</v>
      </c>
      <c r="CN5" s="20" t="s">
        <v>462</v>
      </c>
      <c r="CO5" s="20" t="s">
        <v>551</v>
      </c>
      <c r="CP5" s="20" t="s">
        <v>462</v>
      </c>
      <c r="CQ5" s="20" t="s">
        <v>552</v>
      </c>
      <c r="CR5" s="20" t="s">
        <v>481</v>
      </c>
      <c r="CS5" s="20" t="s">
        <v>510</v>
      </c>
      <c r="CT5" s="20" t="s">
        <v>517</v>
      </c>
      <c r="CU5" s="20" t="s">
        <v>507</v>
      </c>
      <c r="CV5" s="20" t="s">
        <v>462</v>
      </c>
      <c r="CW5" s="20" t="s">
        <v>480</v>
      </c>
      <c r="CX5" s="20" t="s">
        <v>529</v>
      </c>
      <c r="CY5" s="20" t="s">
        <v>507</v>
      </c>
      <c r="CZ5" s="20" t="s">
        <v>553</v>
      </c>
      <c r="DA5" s="20" t="s">
        <v>510</v>
      </c>
      <c r="DB5" s="20" t="s">
        <v>542</v>
      </c>
      <c r="DC5" s="20" t="s">
        <v>554</v>
      </c>
      <c r="DD5" s="20" t="s">
        <v>554</v>
      </c>
      <c r="DE5" s="20" t="s">
        <v>554</v>
      </c>
      <c r="DF5" s="20" t="s">
        <v>554</v>
      </c>
      <c r="DG5" s="20" t="s">
        <v>554</v>
      </c>
      <c r="DH5" s="20" t="s">
        <v>554</v>
      </c>
      <c r="DI5" s="20" t="s">
        <v>554</v>
      </c>
      <c r="DJ5" s="20" t="s">
        <v>554</v>
      </c>
      <c r="DK5" s="20" t="s">
        <v>554</v>
      </c>
      <c r="DL5" s="20" t="s">
        <v>554</v>
      </c>
      <c r="DM5" s="20" t="s">
        <v>554</v>
      </c>
      <c r="DN5" s="20" t="s">
        <v>554</v>
      </c>
      <c r="DO5" s="20" t="s">
        <v>554</v>
      </c>
      <c r="DP5" s="20" t="s">
        <v>554</v>
      </c>
      <c r="DQ5" s="20" t="s">
        <v>554</v>
      </c>
      <c r="DR5" s="20" t="s">
        <v>554</v>
      </c>
      <c r="DS5" s="20" t="s">
        <v>554</v>
      </c>
      <c r="DT5" s="20" t="s">
        <v>554</v>
      </c>
      <c r="DW5" s="20" t="s">
        <v>554</v>
      </c>
      <c r="DX5" s="20" t="s">
        <v>554</v>
      </c>
      <c r="DY5" s="20" t="s">
        <v>554</v>
      </c>
      <c r="DZ5" s="20" t="s">
        <v>554</v>
      </c>
      <c r="EA5" s="20" t="s">
        <v>554</v>
      </c>
      <c r="EB5" s="20" t="s">
        <v>554</v>
      </c>
      <c r="EC5" s="20" t="s">
        <v>554</v>
      </c>
      <c r="ED5" s="20" t="s">
        <v>554</v>
      </c>
      <c r="EE5" s="20" t="s">
        <v>554</v>
      </c>
      <c r="EF5" s="20" t="s">
        <v>554</v>
      </c>
      <c r="EG5" s="20" t="s">
        <v>554</v>
      </c>
      <c r="EH5" s="20" t="s">
        <v>554</v>
      </c>
      <c r="EI5" s="20" t="s">
        <v>554</v>
      </c>
      <c r="EJ5" s="20" t="s">
        <v>554</v>
      </c>
      <c r="EK5" s="20" t="s">
        <v>554</v>
      </c>
      <c r="EL5" s="20" t="s">
        <v>554</v>
      </c>
      <c r="EM5" s="20" t="s">
        <v>554</v>
      </c>
      <c r="EN5" s="20" t="s">
        <v>554</v>
      </c>
      <c r="EO5" s="20" t="s">
        <v>554</v>
      </c>
      <c r="EP5" s="20" t="s">
        <v>554</v>
      </c>
    </row>
    <row r="6" spans="1:146" x14ac:dyDescent="0.3">
      <c r="D6" s="20" t="s">
        <v>555</v>
      </c>
      <c r="E6" s="20" t="s">
        <v>282</v>
      </c>
      <c r="F6" s="20" t="s">
        <v>556</v>
      </c>
      <c r="G6" s="20" t="s">
        <v>542</v>
      </c>
      <c r="H6" s="20" t="s">
        <v>542</v>
      </c>
      <c r="I6" s="20" t="s">
        <v>557</v>
      </c>
      <c r="J6" s="20" t="s">
        <v>462</v>
      </c>
      <c r="K6" s="20" t="s">
        <v>558</v>
      </c>
      <c r="L6" s="20" t="s">
        <v>558</v>
      </c>
      <c r="M6" s="20" t="s">
        <v>559</v>
      </c>
      <c r="N6" s="20" t="s">
        <v>512</v>
      </c>
      <c r="O6" s="20" t="s">
        <v>536</v>
      </c>
      <c r="P6" s="20" t="s">
        <v>560</v>
      </c>
      <c r="Q6" s="20" t="s">
        <v>561</v>
      </c>
      <c r="R6" s="20" t="s">
        <v>466</v>
      </c>
      <c r="S6" s="20" t="s">
        <v>562</v>
      </c>
      <c r="T6" s="20" t="s">
        <v>562</v>
      </c>
      <c r="U6" s="20" t="s">
        <v>537</v>
      </c>
      <c r="V6" s="20" t="s">
        <v>542</v>
      </c>
      <c r="W6" s="20" t="s">
        <v>542</v>
      </c>
      <c r="X6" s="20" t="s">
        <v>563</v>
      </c>
      <c r="Y6" s="20" t="s">
        <v>542</v>
      </c>
      <c r="Z6" s="20" t="s">
        <v>537</v>
      </c>
      <c r="AA6" s="20" t="s">
        <v>558</v>
      </c>
      <c r="AB6" s="20" t="s">
        <v>564</v>
      </c>
      <c r="AC6" s="20" t="s">
        <v>565</v>
      </c>
      <c r="AD6" s="20" t="s">
        <v>566</v>
      </c>
      <c r="AE6" s="20" t="s">
        <v>566</v>
      </c>
      <c r="AF6" s="20" t="s">
        <v>567</v>
      </c>
      <c r="AG6" s="20" t="s">
        <v>517</v>
      </c>
      <c r="AH6" s="20" t="s">
        <v>568</v>
      </c>
      <c r="AI6" s="20" t="s">
        <v>569</v>
      </c>
      <c r="AJ6" s="20" t="s">
        <v>569</v>
      </c>
      <c r="AK6" s="20" t="s">
        <v>570</v>
      </c>
      <c r="AL6" s="20" t="s">
        <v>570</v>
      </c>
      <c r="AM6" s="20" t="s">
        <v>571</v>
      </c>
      <c r="AN6" s="20" t="s">
        <v>535</v>
      </c>
      <c r="AO6" s="20" t="s">
        <v>535</v>
      </c>
      <c r="AP6" s="20" t="s">
        <v>572</v>
      </c>
      <c r="AQ6" s="20" t="s">
        <v>573</v>
      </c>
      <c r="AR6" s="20" t="s">
        <v>510</v>
      </c>
      <c r="AS6" s="20" t="s">
        <v>483</v>
      </c>
      <c r="AT6" s="20" t="s">
        <v>574</v>
      </c>
      <c r="AU6" s="20" t="s">
        <v>574</v>
      </c>
      <c r="AV6" s="20" t="s">
        <v>575</v>
      </c>
      <c r="AW6" s="20" t="s">
        <v>576</v>
      </c>
      <c r="AX6" s="20" t="s">
        <v>510</v>
      </c>
      <c r="AY6" s="20" t="s">
        <v>542</v>
      </c>
      <c r="AZ6" s="20" t="s">
        <v>542</v>
      </c>
      <c r="BA6" s="20" t="s">
        <v>568</v>
      </c>
      <c r="BB6" s="20" t="s">
        <v>483</v>
      </c>
      <c r="BC6" s="20" t="s">
        <v>542</v>
      </c>
      <c r="BD6" s="20" t="s">
        <v>542</v>
      </c>
      <c r="BE6" s="20" t="s">
        <v>577</v>
      </c>
      <c r="BF6" s="20" t="s">
        <v>535</v>
      </c>
      <c r="BG6" s="20" t="s">
        <v>577</v>
      </c>
      <c r="BH6" s="20" t="s">
        <v>578</v>
      </c>
      <c r="BI6" s="20" t="s">
        <v>550</v>
      </c>
      <c r="BJ6" s="20" t="s">
        <v>550</v>
      </c>
      <c r="BK6" s="20" t="s">
        <v>578</v>
      </c>
      <c r="BL6" s="20" t="s">
        <v>578</v>
      </c>
      <c r="BM6" s="20" t="s">
        <v>579</v>
      </c>
      <c r="BN6" s="20" t="s">
        <v>537</v>
      </c>
      <c r="BO6" s="20" t="s">
        <v>577</v>
      </c>
      <c r="BP6" s="20" t="s">
        <v>580</v>
      </c>
      <c r="BQ6" s="20" t="s">
        <v>576</v>
      </c>
      <c r="BR6" s="20" t="s">
        <v>542</v>
      </c>
      <c r="BS6" s="20" t="s">
        <v>577</v>
      </c>
      <c r="BT6" s="20" t="s">
        <v>480</v>
      </c>
      <c r="BU6" s="20" t="s">
        <v>576</v>
      </c>
      <c r="BV6" s="20" t="s">
        <v>542</v>
      </c>
      <c r="BW6" s="20" t="s">
        <v>439</v>
      </c>
      <c r="BX6" s="20" t="s">
        <v>581</v>
      </c>
      <c r="BY6" s="20" t="s">
        <v>581</v>
      </c>
      <c r="CA6" s="20" t="s">
        <v>581</v>
      </c>
      <c r="CB6" s="20" t="s">
        <v>510</v>
      </c>
      <c r="CC6" s="20" t="s">
        <v>543</v>
      </c>
      <c r="CG6" s="20" t="s">
        <v>562</v>
      </c>
      <c r="CH6" s="20" t="s">
        <v>551</v>
      </c>
      <c r="CI6" s="20" t="s">
        <v>562</v>
      </c>
      <c r="CJ6" s="20" t="s">
        <v>499</v>
      </c>
      <c r="CK6" s="20" t="s">
        <v>562</v>
      </c>
      <c r="CL6" s="20" t="s">
        <v>551</v>
      </c>
      <c r="CM6" s="20" t="s">
        <v>582</v>
      </c>
      <c r="CN6" s="20" t="s">
        <v>582</v>
      </c>
      <c r="CO6" s="20" t="s">
        <v>572</v>
      </c>
      <c r="CP6" s="20" t="s">
        <v>542</v>
      </c>
      <c r="CQ6" s="20" t="s">
        <v>542</v>
      </c>
      <c r="CR6" s="20" t="s">
        <v>516</v>
      </c>
      <c r="CS6" s="20" t="s">
        <v>516</v>
      </c>
      <c r="CT6" s="20" t="s">
        <v>551</v>
      </c>
      <c r="CU6" s="20" t="s">
        <v>583</v>
      </c>
      <c r="CV6" s="20" t="s">
        <v>581</v>
      </c>
      <c r="CW6" s="20" t="s">
        <v>584</v>
      </c>
      <c r="CX6" s="20" t="s">
        <v>585</v>
      </c>
      <c r="CY6" s="20" t="s">
        <v>567</v>
      </c>
      <c r="CZ6" s="20" t="s">
        <v>542</v>
      </c>
      <c r="DA6" s="20" t="s">
        <v>483</v>
      </c>
      <c r="DB6" s="20" t="s">
        <v>517</v>
      </c>
    </row>
    <row r="7" spans="1:146" x14ac:dyDescent="0.3">
      <c r="D7" s="20" t="s">
        <v>586</v>
      </c>
      <c r="E7" s="20" t="s">
        <v>283</v>
      </c>
      <c r="F7" s="20" t="s">
        <v>587</v>
      </c>
      <c r="G7" s="20" t="s">
        <v>588</v>
      </c>
      <c r="H7" s="20" t="s">
        <v>588</v>
      </c>
      <c r="I7" s="20" t="s">
        <v>589</v>
      </c>
      <c r="J7" s="20" t="s">
        <v>590</v>
      </c>
      <c r="K7" s="20" t="s">
        <v>590</v>
      </c>
      <c r="L7" s="20" t="s">
        <v>590</v>
      </c>
      <c r="M7" s="20" t="s">
        <v>591</v>
      </c>
      <c r="N7" s="20" t="s">
        <v>517</v>
      </c>
      <c r="O7" s="20" t="s">
        <v>483</v>
      </c>
      <c r="P7" s="20" t="s">
        <v>592</v>
      </c>
      <c r="Q7" s="20" t="s">
        <v>593</v>
      </c>
      <c r="R7" s="20" t="s">
        <v>502</v>
      </c>
      <c r="S7" s="20" t="s">
        <v>577</v>
      </c>
      <c r="T7" s="20" t="s">
        <v>577</v>
      </c>
      <c r="U7" s="20" t="s">
        <v>572</v>
      </c>
      <c r="V7" s="20" t="s">
        <v>517</v>
      </c>
      <c r="W7" s="20" t="s">
        <v>517</v>
      </c>
      <c r="X7" s="20" t="s">
        <v>577</v>
      </c>
      <c r="Y7" s="20" t="s">
        <v>562</v>
      </c>
      <c r="Z7" s="20" t="s">
        <v>572</v>
      </c>
      <c r="AA7" s="20" t="s">
        <v>590</v>
      </c>
      <c r="AB7" s="20" t="s">
        <v>594</v>
      </c>
      <c r="AC7" s="20" t="s">
        <v>595</v>
      </c>
      <c r="AD7" s="20" t="s">
        <v>596</v>
      </c>
      <c r="AE7" s="20" t="s">
        <v>596</v>
      </c>
      <c r="AF7" s="20" t="s">
        <v>597</v>
      </c>
      <c r="AG7" s="20" t="s">
        <v>598</v>
      </c>
      <c r="AH7" s="20" t="s">
        <v>572</v>
      </c>
      <c r="AI7" s="20" t="s">
        <v>515</v>
      </c>
      <c r="AJ7" s="20" t="s">
        <v>515</v>
      </c>
      <c r="AK7" s="20" t="s">
        <v>515</v>
      </c>
      <c r="AL7" s="20" t="s">
        <v>515</v>
      </c>
      <c r="AM7" s="20" t="s">
        <v>550</v>
      </c>
      <c r="AN7" s="20" t="s">
        <v>571</v>
      </c>
      <c r="AO7" s="20" t="s">
        <v>571</v>
      </c>
      <c r="AP7" s="20" t="s">
        <v>598</v>
      </c>
      <c r="AQ7" s="20" t="s">
        <v>590</v>
      </c>
      <c r="AR7" s="20" t="s">
        <v>599</v>
      </c>
      <c r="AS7" s="20" t="s">
        <v>550</v>
      </c>
      <c r="AT7" s="20" t="s">
        <v>483</v>
      </c>
      <c r="AU7" s="20" t="s">
        <v>483</v>
      </c>
      <c r="AV7" s="20" t="s">
        <v>547</v>
      </c>
      <c r="AW7" s="20" t="s">
        <v>481</v>
      </c>
      <c r="AX7" s="20" t="s">
        <v>562</v>
      </c>
      <c r="AY7" s="20" t="s">
        <v>481</v>
      </c>
      <c r="AZ7" s="20" t="s">
        <v>481</v>
      </c>
      <c r="BA7" s="20" t="s">
        <v>572</v>
      </c>
      <c r="BB7" s="20" t="s">
        <v>575</v>
      </c>
      <c r="BC7" s="20" t="s">
        <v>547</v>
      </c>
      <c r="BD7" s="20" t="s">
        <v>547</v>
      </c>
      <c r="BE7" s="20" t="s">
        <v>600</v>
      </c>
      <c r="BF7" s="20" t="s">
        <v>550</v>
      </c>
      <c r="BG7" s="20" t="s">
        <v>600</v>
      </c>
      <c r="BH7" s="20" t="s">
        <v>550</v>
      </c>
      <c r="BI7" s="20" t="s">
        <v>601</v>
      </c>
      <c r="BJ7" s="20" t="s">
        <v>601</v>
      </c>
      <c r="BK7" s="20" t="s">
        <v>550</v>
      </c>
      <c r="BL7" s="20" t="s">
        <v>550</v>
      </c>
      <c r="BM7" s="20" t="s">
        <v>567</v>
      </c>
      <c r="BN7" s="20" t="s">
        <v>543</v>
      </c>
      <c r="BO7" s="20" t="s">
        <v>600</v>
      </c>
      <c r="BP7" s="20" t="s">
        <v>548</v>
      </c>
      <c r="BQ7" s="20" t="s">
        <v>481</v>
      </c>
      <c r="BR7" s="20" t="s">
        <v>517</v>
      </c>
      <c r="BS7" s="20" t="s">
        <v>600</v>
      </c>
      <c r="BT7" s="20" t="s">
        <v>550</v>
      </c>
      <c r="BU7" s="20" t="s">
        <v>481</v>
      </c>
      <c r="BV7" s="20" t="s">
        <v>517</v>
      </c>
      <c r="BW7" s="20" t="s">
        <v>602</v>
      </c>
      <c r="BX7" s="20" t="s">
        <v>499</v>
      </c>
      <c r="BY7" s="20" t="s">
        <v>499</v>
      </c>
      <c r="CA7" s="20" t="s">
        <v>529</v>
      </c>
      <c r="CB7" s="20" t="s">
        <v>483</v>
      </c>
      <c r="CC7" s="20" t="s">
        <v>578</v>
      </c>
      <c r="CG7" s="20" t="s">
        <v>603</v>
      </c>
      <c r="CH7" s="20" t="s">
        <v>572</v>
      </c>
      <c r="CI7" s="20" t="s">
        <v>603</v>
      </c>
      <c r="CJ7" s="20" t="s">
        <v>529</v>
      </c>
      <c r="CK7" s="20" t="s">
        <v>603</v>
      </c>
      <c r="CL7" s="20" t="s">
        <v>572</v>
      </c>
      <c r="CM7" s="20" t="s">
        <v>483</v>
      </c>
      <c r="CN7" s="20" t="s">
        <v>483</v>
      </c>
      <c r="CO7" s="20" t="s">
        <v>550</v>
      </c>
      <c r="CP7" s="20" t="s">
        <v>579</v>
      </c>
      <c r="CQ7" s="20" t="s">
        <v>517</v>
      </c>
      <c r="CR7" s="20" t="s">
        <v>600</v>
      </c>
      <c r="CS7" s="20" t="s">
        <v>603</v>
      </c>
      <c r="CT7" s="20" t="s">
        <v>572</v>
      </c>
      <c r="CU7" s="20" t="s">
        <v>563</v>
      </c>
      <c r="CV7" s="20" t="s">
        <v>529</v>
      </c>
      <c r="CW7" s="20" t="s">
        <v>604</v>
      </c>
      <c r="CX7" s="20" t="s">
        <v>605</v>
      </c>
      <c r="CY7" s="20" t="s">
        <v>548</v>
      </c>
      <c r="CZ7" s="20" t="s">
        <v>603</v>
      </c>
      <c r="DA7" s="20" t="s">
        <v>594</v>
      </c>
      <c r="DB7" s="20" t="s">
        <v>603</v>
      </c>
    </row>
    <row r="8" spans="1:146" x14ac:dyDescent="0.3">
      <c r="D8" s="20" t="s">
        <v>606</v>
      </c>
      <c r="E8" s="20" t="s">
        <v>284</v>
      </c>
    </row>
    <row r="9" spans="1:146" x14ac:dyDescent="0.3">
      <c r="D9" s="20" t="s">
        <v>607</v>
      </c>
      <c r="E9" s="20" t="s">
        <v>285</v>
      </c>
    </row>
    <row r="10" spans="1:146" x14ac:dyDescent="0.3">
      <c r="D10" s="20" t="s">
        <v>608</v>
      </c>
      <c r="E10" s="20" t="s">
        <v>286</v>
      </c>
    </row>
    <row r="11" spans="1:146" x14ac:dyDescent="0.3">
      <c r="D11" s="20" t="s">
        <v>609</v>
      </c>
      <c r="E11" s="20" t="s">
        <v>287</v>
      </c>
    </row>
    <row r="12" spans="1:146" x14ac:dyDescent="0.3">
      <c r="D12" s="20" t="s">
        <v>610</v>
      </c>
      <c r="E12" s="20" t="s">
        <v>288</v>
      </c>
    </row>
    <row r="13" spans="1:146" x14ac:dyDescent="0.3">
      <c r="D13" s="20" t="s">
        <v>611</v>
      </c>
      <c r="E13" s="20" t="s">
        <v>289</v>
      </c>
    </row>
    <row r="14" spans="1:146" x14ac:dyDescent="0.3">
      <c r="D14" s="20" t="s">
        <v>612</v>
      </c>
      <c r="E14" s="20" t="s">
        <v>290</v>
      </c>
    </row>
    <row r="15" spans="1:146" x14ac:dyDescent="0.3">
      <c r="D15" s="20" t="s">
        <v>613</v>
      </c>
      <c r="E15" s="20" t="s">
        <v>291</v>
      </c>
    </row>
    <row r="16" spans="1:146" x14ac:dyDescent="0.3">
      <c r="D16" s="20" t="s">
        <v>614</v>
      </c>
      <c r="E16" s="20" t="s">
        <v>292</v>
      </c>
    </row>
    <row r="17" spans="4:5" x14ac:dyDescent="0.3">
      <c r="D17" s="20" t="s">
        <v>615</v>
      </c>
      <c r="E17" s="20" t="s">
        <v>293</v>
      </c>
    </row>
    <row r="18" spans="4:5" x14ac:dyDescent="0.3">
      <c r="D18" s="20" t="s">
        <v>616</v>
      </c>
      <c r="E18" s="20" t="s">
        <v>294</v>
      </c>
    </row>
    <row r="19" spans="4:5" x14ac:dyDescent="0.3">
      <c r="D19" s="20" t="s">
        <v>617</v>
      </c>
      <c r="E19" s="20" t="s">
        <v>295</v>
      </c>
    </row>
    <row r="20" spans="4:5" x14ac:dyDescent="0.3">
      <c r="D20" s="20" t="s">
        <v>618</v>
      </c>
      <c r="E20" s="20" t="s">
        <v>296</v>
      </c>
    </row>
    <row r="21" spans="4:5" x14ac:dyDescent="0.3">
      <c r="D21" s="20" t="s">
        <v>619</v>
      </c>
      <c r="E21" s="20" t="s">
        <v>297</v>
      </c>
    </row>
    <row r="22" spans="4:5" x14ac:dyDescent="0.3">
      <c r="D22" s="20" t="s">
        <v>620</v>
      </c>
      <c r="E22" s="20" t="s">
        <v>298</v>
      </c>
    </row>
    <row r="23" spans="4:5" x14ac:dyDescent="0.3">
      <c r="D23" s="20" t="s">
        <v>621</v>
      </c>
      <c r="E23" s="20" t="s">
        <v>299</v>
      </c>
    </row>
    <row r="24" spans="4:5" x14ac:dyDescent="0.3">
      <c r="D24" s="20" t="s">
        <v>622</v>
      </c>
      <c r="E24" s="20" t="s">
        <v>300</v>
      </c>
    </row>
    <row r="25" spans="4:5" x14ac:dyDescent="0.3">
      <c r="D25" s="20" t="s">
        <v>623</v>
      </c>
      <c r="E25" s="20" t="s">
        <v>301</v>
      </c>
    </row>
    <row r="26" spans="4:5" x14ac:dyDescent="0.3">
      <c r="D26" s="20" t="s">
        <v>624</v>
      </c>
      <c r="E26" s="20" t="s">
        <v>302</v>
      </c>
    </row>
    <row r="27" spans="4:5" x14ac:dyDescent="0.3">
      <c r="D27" s="20" t="s">
        <v>625</v>
      </c>
      <c r="E27" s="20" t="s">
        <v>303</v>
      </c>
    </row>
    <row r="28" spans="4:5" x14ac:dyDescent="0.3">
      <c r="D28" s="20" t="s">
        <v>626</v>
      </c>
      <c r="E28" s="20" t="s">
        <v>304</v>
      </c>
    </row>
    <row r="29" spans="4:5" x14ac:dyDescent="0.3">
      <c r="D29" s="20" t="s">
        <v>627</v>
      </c>
      <c r="E29" s="20" t="s">
        <v>305</v>
      </c>
    </row>
    <row r="30" spans="4:5" x14ac:dyDescent="0.3">
      <c r="D30" s="20" t="s">
        <v>628</v>
      </c>
      <c r="E30" s="20" t="s">
        <v>306</v>
      </c>
    </row>
    <row r="31" spans="4:5" x14ac:dyDescent="0.3">
      <c r="D31" s="20" t="s">
        <v>629</v>
      </c>
      <c r="E31" s="20" t="s">
        <v>307</v>
      </c>
    </row>
    <row r="32" spans="4:5" x14ac:dyDescent="0.3">
      <c r="D32" s="20" t="s">
        <v>630</v>
      </c>
      <c r="E32" s="20" t="s">
        <v>308</v>
      </c>
    </row>
    <row r="33" spans="4:5" x14ac:dyDescent="0.3">
      <c r="D33" s="20" t="s">
        <v>631</v>
      </c>
      <c r="E33" s="20" t="s">
        <v>309</v>
      </c>
    </row>
    <row r="34" spans="4:5" x14ac:dyDescent="0.3">
      <c r="D34" s="20" t="s">
        <v>632</v>
      </c>
      <c r="E34" s="20" t="s">
        <v>310</v>
      </c>
    </row>
    <row r="35" spans="4:5" x14ac:dyDescent="0.3">
      <c r="D35" s="20" t="s">
        <v>633</v>
      </c>
      <c r="E35" s="20" t="s">
        <v>311</v>
      </c>
    </row>
    <row r="36" spans="4:5" x14ac:dyDescent="0.3">
      <c r="D36" s="20" t="s">
        <v>634</v>
      </c>
      <c r="E36" s="20" t="s">
        <v>312</v>
      </c>
    </row>
    <row r="37" spans="4:5" x14ac:dyDescent="0.3">
      <c r="D37" s="20" t="s">
        <v>635</v>
      </c>
      <c r="E37" s="20" t="s">
        <v>313</v>
      </c>
    </row>
    <row r="38" spans="4:5" x14ac:dyDescent="0.3">
      <c r="D38" s="20" t="s">
        <v>636</v>
      </c>
      <c r="E38" s="20" t="s">
        <v>314</v>
      </c>
    </row>
    <row r="39" spans="4:5" x14ac:dyDescent="0.3">
      <c r="D39" s="20" t="s">
        <v>637</v>
      </c>
      <c r="E39" s="20" t="s">
        <v>315</v>
      </c>
    </row>
    <row r="40" spans="4:5" x14ac:dyDescent="0.3">
      <c r="D40" s="20" t="s">
        <v>638</v>
      </c>
      <c r="E40" s="20" t="s">
        <v>316</v>
      </c>
    </row>
    <row r="41" spans="4:5" x14ac:dyDescent="0.3">
      <c r="D41" s="20" t="s">
        <v>639</v>
      </c>
      <c r="E41" s="20" t="s">
        <v>317</v>
      </c>
    </row>
    <row r="42" spans="4:5" x14ac:dyDescent="0.3">
      <c r="D42" s="20" t="s">
        <v>640</v>
      </c>
      <c r="E42" s="20" t="s">
        <v>318</v>
      </c>
    </row>
    <row r="43" spans="4:5" x14ac:dyDescent="0.3">
      <c r="D43" s="20" t="s">
        <v>641</v>
      </c>
      <c r="E43" s="20" t="s">
        <v>319</v>
      </c>
    </row>
    <row r="44" spans="4:5" x14ac:dyDescent="0.3">
      <c r="D44" s="20" t="s">
        <v>642</v>
      </c>
      <c r="E44" s="20" t="s">
        <v>320</v>
      </c>
    </row>
    <row r="45" spans="4:5" x14ac:dyDescent="0.3">
      <c r="D45" s="20" t="s">
        <v>643</v>
      </c>
      <c r="E45" s="20" t="s">
        <v>321</v>
      </c>
    </row>
    <row r="46" spans="4:5" x14ac:dyDescent="0.3">
      <c r="D46" s="20" t="s">
        <v>644</v>
      </c>
      <c r="E46" s="20" t="s">
        <v>322</v>
      </c>
    </row>
    <row r="47" spans="4:5" x14ac:dyDescent="0.3">
      <c r="D47" s="20" t="s">
        <v>645</v>
      </c>
      <c r="E47" s="20" t="s">
        <v>323</v>
      </c>
    </row>
    <row r="48" spans="4:5" x14ac:dyDescent="0.3">
      <c r="D48" s="20" t="s">
        <v>646</v>
      </c>
      <c r="E48" s="20" t="s">
        <v>324</v>
      </c>
    </row>
    <row r="49" spans="4:5" x14ac:dyDescent="0.3">
      <c r="D49" s="20" t="s">
        <v>647</v>
      </c>
      <c r="E49" s="20" t="s">
        <v>325</v>
      </c>
    </row>
    <row r="50" spans="4:5" x14ac:dyDescent="0.3">
      <c r="D50" s="20" t="s">
        <v>648</v>
      </c>
      <c r="E50" s="20" t="s">
        <v>326</v>
      </c>
    </row>
    <row r="51" spans="4:5" x14ac:dyDescent="0.3">
      <c r="D51" s="20" t="s">
        <v>649</v>
      </c>
      <c r="E51" s="20" t="s">
        <v>327</v>
      </c>
    </row>
    <row r="52" spans="4:5" x14ac:dyDescent="0.3">
      <c r="D52" s="20" t="s">
        <v>650</v>
      </c>
      <c r="E52" s="20" t="s">
        <v>328</v>
      </c>
    </row>
    <row r="53" spans="4:5" x14ac:dyDescent="0.3">
      <c r="D53" s="20" t="s">
        <v>651</v>
      </c>
      <c r="E53" s="20" t="s">
        <v>329</v>
      </c>
    </row>
    <row r="54" spans="4:5" x14ac:dyDescent="0.3">
      <c r="D54" s="20" t="s">
        <v>652</v>
      </c>
      <c r="E54" s="20" t="s">
        <v>330</v>
      </c>
    </row>
    <row r="55" spans="4:5" x14ac:dyDescent="0.3">
      <c r="D55" s="20" t="s">
        <v>653</v>
      </c>
      <c r="E55" s="20" t="s">
        <v>331</v>
      </c>
    </row>
    <row r="56" spans="4:5" x14ac:dyDescent="0.3">
      <c r="D56" s="20" t="s">
        <v>654</v>
      </c>
      <c r="E56" s="20" t="s">
        <v>332</v>
      </c>
    </row>
    <row r="57" spans="4:5" x14ac:dyDescent="0.3">
      <c r="D57" s="20" t="s">
        <v>655</v>
      </c>
      <c r="E57" s="20" t="s">
        <v>333</v>
      </c>
    </row>
    <row r="58" spans="4:5" x14ac:dyDescent="0.3">
      <c r="D58" s="20" t="s">
        <v>656</v>
      </c>
      <c r="E58" s="20" t="s">
        <v>334</v>
      </c>
    </row>
    <row r="59" spans="4:5" x14ac:dyDescent="0.3">
      <c r="D59" s="20" t="s">
        <v>657</v>
      </c>
      <c r="E59" s="20" t="s">
        <v>335</v>
      </c>
    </row>
    <row r="60" spans="4:5" x14ac:dyDescent="0.3">
      <c r="D60" s="20" t="s">
        <v>658</v>
      </c>
      <c r="E60" s="20" t="s">
        <v>336</v>
      </c>
    </row>
    <row r="61" spans="4:5" x14ac:dyDescent="0.3">
      <c r="D61" s="20" t="s">
        <v>659</v>
      </c>
      <c r="E61" s="20" t="s">
        <v>337</v>
      </c>
    </row>
    <row r="62" spans="4:5" x14ac:dyDescent="0.3">
      <c r="D62" s="20" t="s">
        <v>660</v>
      </c>
      <c r="E62" s="20" t="s">
        <v>338</v>
      </c>
    </row>
    <row r="63" spans="4:5" x14ac:dyDescent="0.3">
      <c r="D63" s="20" t="s">
        <v>661</v>
      </c>
      <c r="E63" s="20" t="s">
        <v>339</v>
      </c>
    </row>
    <row r="64" spans="4:5" x14ac:dyDescent="0.3">
      <c r="D64" s="20" t="s">
        <v>662</v>
      </c>
      <c r="E64" s="20" t="s">
        <v>340</v>
      </c>
    </row>
    <row r="65" spans="4:5" x14ac:dyDescent="0.3">
      <c r="D65" s="20" t="s">
        <v>663</v>
      </c>
      <c r="E65" s="20" t="s">
        <v>341</v>
      </c>
    </row>
    <row r="66" spans="4:5" x14ac:dyDescent="0.3">
      <c r="D66" s="20" t="s">
        <v>664</v>
      </c>
      <c r="E66" s="20" t="s">
        <v>342</v>
      </c>
    </row>
    <row r="67" spans="4:5" x14ac:dyDescent="0.3">
      <c r="D67" s="20" t="s">
        <v>665</v>
      </c>
      <c r="E67" s="20" t="s">
        <v>343</v>
      </c>
    </row>
    <row r="68" spans="4:5" x14ac:dyDescent="0.3">
      <c r="D68" s="20" t="s">
        <v>666</v>
      </c>
      <c r="E68" s="20" t="s">
        <v>344</v>
      </c>
    </row>
    <row r="69" spans="4:5" x14ac:dyDescent="0.3">
      <c r="D69" s="20" t="s">
        <v>667</v>
      </c>
      <c r="E69" s="20" t="s">
        <v>345</v>
      </c>
    </row>
    <row r="70" spans="4:5" x14ac:dyDescent="0.3">
      <c r="D70" s="20" t="s">
        <v>668</v>
      </c>
      <c r="E70" s="20" t="s">
        <v>346</v>
      </c>
    </row>
    <row r="71" spans="4:5" x14ac:dyDescent="0.3">
      <c r="D71" s="20" t="s">
        <v>669</v>
      </c>
      <c r="E71" s="20" t="s">
        <v>347</v>
      </c>
    </row>
    <row r="72" spans="4:5" x14ac:dyDescent="0.3">
      <c r="D72" s="20" t="s">
        <v>670</v>
      </c>
      <c r="E72" s="20" t="s">
        <v>348</v>
      </c>
    </row>
    <row r="73" spans="4:5" x14ac:dyDescent="0.3">
      <c r="D73" s="20" t="s">
        <v>671</v>
      </c>
      <c r="E73" s="20" t="s">
        <v>349</v>
      </c>
    </row>
    <row r="74" spans="4:5" x14ac:dyDescent="0.3">
      <c r="D74" s="20" t="s">
        <v>672</v>
      </c>
      <c r="E74" s="20" t="s">
        <v>350</v>
      </c>
    </row>
    <row r="75" spans="4:5" x14ac:dyDescent="0.3">
      <c r="D75" s="20" t="s">
        <v>673</v>
      </c>
      <c r="E75" s="20" t="s">
        <v>351</v>
      </c>
    </row>
    <row r="76" spans="4:5" x14ac:dyDescent="0.3">
      <c r="D76" s="20" t="s">
        <v>674</v>
      </c>
      <c r="E76" s="20" t="s">
        <v>352</v>
      </c>
    </row>
    <row r="77" spans="4:5" x14ac:dyDescent="0.3">
      <c r="D77" s="20" t="s">
        <v>675</v>
      </c>
      <c r="E77" s="20" t="s">
        <v>353</v>
      </c>
    </row>
    <row r="78" spans="4:5" x14ac:dyDescent="0.3">
      <c r="D78" s="20" t="s">
        <v>676</v>
      </c>
      <c r="E78" s="20" t="s">
        <v>354</v>
      </c>
    </row>
    <row r="79" spans="4:5" x14ac:dyDescent="0.3">
      <c r="D79" s="20" t="s">
        <v>677</v>
      </c>
      <c r="E79" s="20" t="s">
        <v>355</v>
      </c>
    </row>
    <row r="80" spans="4:5" x14ac:dyDescent="0.3">
      <c r="D80" s="20" t="s">
        <v>678</v>
      </c>
      <c r="E80" s="20" t="s">
        <v>356</v>
      </c>
    </row>
    <row r="81" spans="4:5" x14ac:dyDescent="0.3">
      <c r="D81" s="20" t="s">
        <v>679</v>
      </c>
      <c r="E81" s="20" t="s">
        <v>357</v>
      </c>
    </row>
    <row r="82" spans="4:5" x14ac:dyDescent="0.3">
      <c r="D82" s="20" t="s">
        <v>680</v>
      </c>
      <c r="E82" s="20" t="s">
        <v>358</v>
      </c>
    </row>
    <row r="83" spans="4:5" x14ac:dyDescent="0.3">
      <c r="D83" s="20" t="s">
        <v>681</v>
      </c>
      <c r="E83" s="20" t="s">
        <v>359</v>
      </c>
    </row>
    <row r="84" spans="4:5" x14ac:dyDescent="0.3">
      <c r="D84" s="20" t="s">
        <v>682</v>
      </c>
      <c r="E84" s="20" t="s">
        <v>360</v>
      </c>
    </row>
    <row r="85" spans="4:5" x14ac:dyDescent="0.3">
      <c r="D85" s="20" t="s">
        <v>683</v>
      </c>
      <c r="E85" s="20" t="s">
        <v>361</v>
      </c>
    </row>
    <row r="86" spans="4:5" x14ac:dyDescent="0.3">
      <c r="D86" s="20" t="s">
        <v>684</v>
      </c>
      <c r="E86" s="20" t="s">
        <v>362</v>
      </c>
    </row>
    <row r="87" spans="4:5" x14ac:dyDescent="0.3">
      <c r="D87" s="20" t="s">
        <v>685</v>
      </c>
      <c r="E87" s="20" t="s">
        <v>363</v>
      </c>
    </row>
    <row r="88" spans="4:5" x14ac:dyDescent="0.3">
      <c r="D88" s="20" t="s">
        <v>686</v>
      </c>
      <c r="E88" s="20" t="s">
        <v>364</v>
      </c>
    </row>
    <row r="89" spans="4:5" x14ac:dyDescent="0.3">
      <c r="D89" s="20" t="s">
        <v>687</v>
      </c>
      <c r="E89" s="20" t="s">
        <v>365</v>
      </c>
    </row>
    <row r="90" spans="4:5" x14ac:dyDescent="0.3">
      <c r="D90" s="20" t="s">
        <v>688</v>
      </c>
      <c r="E90" s="20" t="s">
        <v>366</v>
      </c>
    </row>
    <row r="91" spans="4:5" x14ac:dyDescent="0.3">
      <c r="D91" s="20" t="s">
        <v>689</v>
      </c>
      <c r="E91" s="20" t="s">
        <v>367</v>
      </c>
    </row>
    <row r="92" spans="4:5" x14ac:dyDescent="0.3">
      <c r="D92" s="20" t="s">
        <v>690</v>
      </c>
      <c r="E92" s="20" t="s">
        <v>368</v>
      </c>
    </row>
    <row r="93" spans="4:5" x14ac:dyDescent="0.3">
      <c r="D93" s="20" t="s">
        <v>691</v>
      </c>
      <c r="E93" s="20" t="s">
        <v>369</v>
      </c>
    </row>
    <row r="94" spans="4:5" x14ac:dyDescent="0.3">
      <c r="D94" s="20" t="s">
        <v>692</v>
      </c>
      <c r="E94" s="20" t="s">
        <v>370</v>
      </c>
    </row>
    <row r="95" spans="4:5" x14ac:dyDescent="0.3">
      <c r="D95" s="20" t="s">
        <v>693</v>
      </c>
      <c r="E95" s="20" t="s">
        <v>371</v>
      </c>
    </row>
    <row r="96" spans="4:5" x14ac:dyDescent="0.3">
      <c r="D96" s="20" t="s">
        <v>694</v>
      </c>
      <c r="E96" s="20" t="s">
        <v>372</v>
      </c>
    </row>
    <row r="97" spans="4:5" x14ac:dyDescent="0.3">
      <c r="D97" s="20" t="s">
        <v>695</v>
      </c>
      <c r="E97" s="20" t="s">
        <v>373</v>
      </c>
    </row>
    <row r="98" spans="4:5" x14ac:dyDescent="0.3">
      <c r="D98" s="20" t="s">
        <v>696</v>
      </c>
      <c r="E98" s="20" t="s">
        <v>374</v>
      </c>
    </row>
    <row r="99" spans="4:5" x14ac:dyDescent="0.3">
      <c r="D99" s="20" t="s">
        <v>697</v>
      </c>
      <c r="E99" s="20" t="s">
        <v>375</v>
      </c>
    </row>
    <row r="100" spans="4:5" x14ac:dyDescent="0.3">
      <c r="D100" s="20" t="s">
        <v>698</v>
      </c>
      <c r="E100" s="20" t="s">
        <v>376</v>
      </c>
    </row>
    <row r="101" spans="4:5" x14ac:dyDescent="0.3">
      <c r="D101" s="20" t="s">
        <v>699</v>
      </c>
      <c r="E101" s="20" t="s">
        <v>377</v>
      </c>
    </row>
    <row r="102" spans="4:5" x14ac:dyDescent="0.3">
      <c r="D102" s="20" t="s">
        <v>700</v>
      </c>
      <c r="E102" s="20" t="s">
        <v>378</v>
      </c>
    </row>
    <row r="103" spans="4:5" x14ac:dyDescent="0.3">
      <c r="D103" s="20" t="s">
        <v>701</v>
      </c>
      <c r="E103" s="20" t="s">
        <v>379</v>
      </c>
    </row>
    <row r="104" spans="4:5" x14ac:dyDescent="0.3">
      <c r="D104" s="20" t="s">
        <v>702</v>
      </c>
      <c r="E104" s="20" t="s">
        <v>380</v>
      </c>
    </row>
    <row r="105" spans="4:5" x14ac:dyDescent="0.3">
      <c r="D105" s="20" t="s">
        <v>703</v>
      </c>
      <c r="E105" s="20" t="s">
        <v>381</v>
      </c>
    </row>
    <row r="106" spans="4:5" x14ac:dyDescent="0.3">
      <c r="D106" s="20" t="s">
        <v>704</v>
      </c>
      <c r="E106" s="20" t="s">
        <v>382</v>
      </c>
    </row>
    <row r="107" spans="4:5" x14ac:dyDescent="0.3">
      <c r="D107" s="20" t="s">
        <v>705</v>
      </c>
      <c r="E107" s="20" t="s">
        <v>383</v>
      </c>
    </row>
    <row r="108" spans="4:5" x14ac:dyDescent="0.3">
      <c r="D108" s="20" t="s">
        <v>706</v>
      </c>
      <c r="E108" s="20" t="s">
        <v>384</v>
      </c>
    </row>
    <row r="109" spans="4:5" x14ac:dyDescent="0.3">
      <c r="D109" s="20" t="s">
        <v>707</v>
      </c>
      <c r="E109" s="20" t="s">
        <v>385</v>
      </c>
    </row>
    <row r="110" spans="4:5" x14ac:dyDescent="0.3">
      <c r="D110" s="20" t="s">
        <v>708</v>
      </c>
      <c r="E110" s="20" t="s">
        <v>386</v>
      </c>
    </row>
    <row r="111" spans="4:5" x14ac:dyDescent="0.3">
      <c r="D111" s="20" t="s">
        <v>709</v>
      </c>
      <c r="E111" s="20" t="s">
        <v>387</v>
      </c>
    </row>
    <row r="112" spans="4:5" x14ac:dyDescent="0.3">
      <c r="D112" s="20" t="s">
        <v>710</v>
      </c>
      <c r="E112" s="20" t="s">
        <v>388</v>
      </c>
    </row>
    <row r="113" spans="4:5" x14ac:dyDescent="0.3">
      <c r="D113" s="20" t="s">
        <v>711</v>
      </c>
      <c r="E113" s="20" t="s">
        <v>389</v>
      </c>
    </row>
    <row r="114" spans="4:5" x14ac:dyDescent="0.3">
      <c r="D114" s="20" t="s">
        <v>712</v>
      </c>
      <c r="E114" s="20" t="s">
        <v>390</v>
      </c>
    </row>
    <row r="115" spans="4:5" x14ac:dyDescent="0.3">
      <c r="D115" s="20" t="s">
        <v>713</v>
      </c>
      <c r="E115" s="20" t="s">
        <v>391</v>
      </c>
    </row>
    <row r="116" spans="4:5" x14ac:dyDescent="0.3">
      <c r="D116" s="20" t="s">
        <v>714</v>
      </c>
      <c r="E116" s="20" t="s">
        <v>392</v>
      </c>
    </row>
    <row r="117" spans="4:5" x14ac:dyDescent="0.3">
      <c r="D117" s="20" t="s">
        <v>715</v>
      </c>
      <c r="E117" s="20" t="s">
        <v>393</v>
      </c>
    </row>
    <row r="118" spans="4:5" x14ac:dyDescent="0.3">
      <c r="D118" s="20" t="s">
        <v>716</v>
      </c>
      <c r="E118" s="20" t="s">
        <v>394</v>
      </c>
    </row>
    <row r="119" spans="4:5" x14ac:dyDescent="0.3">
      <c r="D119" s="20" t="s">
        <v>717</v>
      </c>
      <c r="E119" s="20" t="s">
        <v>395</v>
      </c>
    </row>
    <row r="120" spans="4:5" x14ac:dyDescent="0.3">
      <c r="D120" s="20" t="s">
        <v>718</v>
      </c>
      <c r="E120" s="20" t="s">
        <v>396</v>
      </c>
    </row>
    <row r="121" spans="4:5" x14ac:dyDescent="0.3">
      <c r="D121" s="20" t="s">
        <v>719</v>
      </c>
      <c r="E121" s="20" t="s">
        <v>397</v>
      </c>
    </row>
    <row r="122" spans="4:5" x14ac:dyDescent="0.3">
      <c r="D122" s="20" t="s">
        <v>720</v>
      </c>
      <c r="E122" s="20" t="s">
        <v>398</v>
      </c>
    </row>
    <row r="123" spans="4:5" x14ac:dyDescent="0.3">
      <c r="D123" s="20" t="s">
        <v>721</v>
      </c>
      <c r="E123" s="20" t="s">
        <v>399</v>
      </c>
    </row>
    <row r="124" spans="4:5" x14ac:dyDescent="0.3">
      <c r="D124" s="20" t="s">
        <v>722</v>
      </c>
      <c r="E124" s="20" t="s">
        <v>400</v>
      </c>
    </row>
    <row r="125" spans="4:5" x14ac:dyDescent="0.3">
      <c r="D125" s="20" t="s">
        <v>723</v>
      </c>
      <c r="E125" s="20" t="s">
        <v>401</v>
      </c>
    </row>
    <row r="126" spans="4:5" x14ac:dyDescent="0.3">
      <c r="D126" s="20" t="s">
        <v>724</v>
      </c>
      <c r="E126" s="20" t="s">
        <v>402</v>
      </c>
    </row>
    <row r="127" spans="4:5" x14ac:dyDescent="0.3">
      <c r="D127" s="20" t="s">
        <v>725</v>
      </c>
      <c r="E127" s="20" t="s">
        <v>403</v>
      </c>
    </row>
    <row r="128" spans="4:5" x14ac:dyDescent="0.3">
      <c r="D128" s="20" t="s">
        <v>726</v>
      </c>
      <c r="E128" s="20" t="s">
        <v>404</v>
      </c>
    </row>
    <row r="129" spans="4:5" x14ac:dyDescent="0.3">
      <c r="D129" s="20" t="s">
        <v>727</v>
      </c>
      <c r="E129" s="20" t="s">
        <v>405</v>
      </c>
    </row>
    <row r="130" spans="4:5" x14ac:dyDescent="0.3">
      <c r="D130" s="20" t="s">
        <v>728</v>
      </c>
      <c r="E130" s="20" t="s">
        <v>406</v>
      </c>
    </row>
    <row r="131" spans="4:5" x14ac:dyDescent="0.3">
      <c r="D131" s="20" t="s">
        <v>729</v>
      </c>
      <c r="E131" s="20" t="s">
        <v>407</v>
      </c>
    </row>
    <row r="132" spans="4:5" x14ac:dyDescent="0.3">
      <c r="D132" s="20" t="s">
        <v>730</v>
      </c>
      <c r="E132" s="20" t="s">
        <v>408</v>
      </c>
    </row>
    <row r="133" spans="4:5" x14ac:dyDescent="0.3">
      <c r="D133" s="20" t="s">
        <v>731</v>
      </c>
      <c r="E133" s="20" t="s">
        <v>409</v>
      </c>
    </row>
    <row r="134" spans="4:5" x14ac:dyDescent="0.3">
      <c r="D134" s="20" t="s">
        <v>732</v>
      </c>
      <c r="E134" s="20" t="s">
        <v>410</v>
      </c>
    </row>
    <row r="135" spans="4:5" x14ac:dyDescent="0.3">
      <c r="D135" s="20" t="s">
        <v>733</v>
      </c>
      <c r="E135" s="20" t="s">
        <v>411</v>
      </c>
    </row>
    <row r="136" spans="4:5" x14ac:dyDescent="0.3">
      <c r="D136" s="20" t="s">
        <v>734</v>
      </c>
      <c r="E136" s="20" t="s">
        <v>412</v>
      </c>
    </row>
    <row r="137" spans="4:5" x14ac:dyDescent="0.3">
      <c r="D137" s="20" t="s">
        <v>735</v>
      </c>
      <c r="E137" s="20" t="s">
        <v>413</v>
      </c>
    </row>
    <row r="138" spans="4:5" x14ac:dyDescent="0.3">
      <c r="D138" s="20" t="s">
        <v>736</v>
      </c>
      <c r="E138" s="20" t="s">
        <v>414</v>
      </c>
    </row>
    <row r="139" spans="4:5" x14ac:dyDescent="0.3">
      <c r="D139" s="20" t="s">
        <v>737</v>
      </c>
      <c r="E139" s="20" t="s">
        <v>415</v>
      </c>
    </row>
    <row r="140" spans="4:5" x14ac:dyDescent="0.3">
      <c r="D140" s="20" t="s">
        <v>738</v>
      </c>
      <c r="E140" s="20" t="s">
        <v>416</v>
      </c>
    </row>
    <row r="141" spans="4:5" x14ac:dyDescent="0.3">
      <c r="D141" s="20" t="s">
        <v>739</v>
      </c>
      <c r="E141" s="20" t="s">
        <v>417</v>
      </c>
    </row>
    <row r="142" spans="4:5" x14ac:dyDescent="0.3">
      <c r="D142" s="20" t="s">
        <v>740</v>
      </c>
      <c r="E142" s="20" t="s">
        <v>418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19CAA0-43B8-40BE-BDA2-D0D3B8EAFE48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152</vt:i4>
      </vt:variant>
    </vt:vector>
  </HeadingPairs>
  <TitlesOfParts>
    <vt:vector size="158" baseType="lpstr">
      <vt:lpstr>BASE BID</vt:lpstr>
      <vt:lpstr>Dashboard</vt:lpstr>
      <vt:lpstr>Data for Dashboard</vt:lpstr>
      <vt:lpstr>COST SUMMARY</vt:lpstr>
      <vt:lpstr>HOURLY RATES</vt:lpstr>
      <vt:lpstr>Data for Rough Cost</vt:lpstr>
      <vt:lpstr>Average</vt:lpstr>
      <vt:lpstr>Average1</vt:lpstr>
      <vt:lpstr>Average10</vt:lpstr>
      <vt:lpstr>Average11</vt:lpstr>
      <vt:lpstr>Average12</vt:lpstr>
      <vt:lpstr>Average2</vt:lpstr>
      <vt:lpstr>Average3</vt:lpstr>
      <vt:lpstr>Average4</vt:lpstr>
      <vt:lpstr>Average5</vt:lpstr>
      <vt:lpstr>Average6</vt:lpstr>
      <vt:lpstr>Average7</vt:lpstr>
      <vt:lpstr>Average8</vt:lpstr>
      <vt:lpstr>Average9</vt:lpstr>
      <vt:lpstr>Categories</vt:lpstr>
      <vt:lpstr>Commercial</vt:lpstr>
      <vt:lpstr>Custom</vt:lpstr>
      <vt:lpstr>Custom1</vt:lpstr>
      <vt:lpstr>Custom10</vt:lpstr>
      <vt:lpstr>Custom2</vt:lpstr>
      <vt:lpstr>Custom3</vt:lpstr>
      <vt:lpstr>Custom4</vt:lpstr>
      <vt:lpstr>Custom5</vt:lpstr>
      <vt:lpstr>Custom6</vt:lpstr>
      <vt:lpstr>Custom7</vt:lpstr>
      <vt:lpstr>Custom8</vt:lpstr>
      <vt:lpstr>Custom9</vt:lpstr>
      <vt:lpstr>Default</vt:lpstr>
      <vt:lpstr>Default1</vt:lpstr>
      <vt:lpstr>Default10</vt:lpstr>
      <vt:lpstr>Default100</vt:lpstr>
      <vt:lpstr>Default101</vt:lpstr>
      <vt:lpstr>Default11</vt:lpstr>
      <vt:lpstr>Default12</vt:lpstr>
      <vt:lpstr>Default13</vt:lpstr>
      <vt:lpstr>Default14</vt:lpstr>
      <vt:lpstr>Default15</vt:lpstr>
      <vt:lpstr>Default16</vt:lpstr>
      <vt:lpstr>Default17</vt:lpstr>
      <vt:lpstr>Default18</vt:lpstr>
      <vt:lpstr>Default19</vt:lpstr>
      <vt:lpstr>Default2</vt:lpstr>
      <vt:lpstr>Default20</vt:lpstr>
      <vt:lpstr>Default21</vt:lpstr>
      <vt:lpstr>Default22</vt:lpstr>
      <vt:lpstr>Default23</vt:lpstr>
      <vt:lpstr>Default24</vt:lpstr>
      <vt:lpstr>Default25</vt:lpstr>
      <vt:lpstr>Default26</vt:lpstr>
      <vt:lpstr>Default27</vt:lpstr>
      <vt:lpstr>Default28</vt:lpstr>
      <vt:lpstr>Default29</vt:lpstr>
      <vt:lpstr>Default3</vt:lpstr>
      <vt:lpstr>Default30</vt:lpstr>
      <vt:lpstr>Default31</vt:lpstr>
      <vt:lpstr>Default32</vt:lpstr>
      <vt:lpstr>Default33</vt:lpstr>
      <vt:lpstr>Default34</vt:lpstr>
      <vt:lpstr>Default35</vt:lpstr>
      <vt:lpstr>Default36</vt:lpstr>
      <vt:lpstr>Default37</vt:lpstr>
      <vt:lpstr>Default38</vt:lpstr>
      <vt:lpstr>Default39</vt:lpstr>
      <vt:lpstr>Default4</vt:lpstr>
      <vt:lpstr>Default40</vt:lpstr>
      <vt:lpstr>Default41</vt:lpstr>
      <vt:lpstr>Default42</vt:lpstr>
      <vt:lpstr>Default43</vt:lpstr>
      <vt:lpstr>Default44</vt:lpstr>
      <vt:lpstr>Default45</vt:lpstr>
      <vt:lpstr>Default46</vt:lpstr>
      <vt:lpstr>Default47</vt:lpstr>
      <vt:lpstr>Default48</vt:lpstr>
      <vt:lpstr>Default49</vt:lpstr>
      <vt:lpstr>Default5</vt:lpstr>
      <vt:lpstr>Default50</vt:lpstr>
      <vt:lpstr>Default51</vt:lpstr>
      <vt:lpstr>Default52</vt:lpstr>
      <vt:lpstr>Default53</vt:lpstr>
      <vt:lpstr>Default54</vt:lpstr>
      <vt:lpstr>Default55</vt:lpstr>
      <vt:lpstr>Default56</vt:lpstr>
      <vt:lpstr>Default57</vt:lpstr>
      <vt:lpstr>Default58</vt:lpstr>
      <vt:lpstr>Default59</vt:lpstr>
      <vt:lpstr>Default6</vt:lpstr>
      <vt:lpstr>Default60</vt:lpstr>
      <vt:lpstr>Default61</vt:lpstr>
      <vt:lpstr>Default62</vt:lpstr>
      <vt:lpstr>Default63</vt:lpstr>
      <vt:lpstr>Default64</vt:lpstr>
      <vt:lpstr>Default65</vt:lpstr>
      <vt:lpstr>Default66</vt:lpstr>
      <vt:lpstr>Default67</vt:lpstr>
      <vt:lpstr>Default68</vt:lpstr>
      <vt:lpstr>Default69</vt:lpstr>
      <vt:lpstr>Default7</vt:lpstr>
      <vt:lpstr>Default70</vt:lpstr>
      <vt:lpstr>Default71</vt:lpstr>
      <vt:lpstr>Default72</vt:lpstr>
      <vt:lpstr>Default73</vt:lpstr>
      <vt:lpstr>Default74</vt:lpstr>
      <vt:lpstr>Default75</vt:lpstr>
      <vt:lpstr>Default76</vt:lpstr>
      <vt:lpstr>Default77</vt:lpstr>
      <vt:lpstr>Default78</vt:lpstr>
      <vt:lpstr>Default79</vt:lpstr>
      <vt:lpstr>Default8</vt:lpstr>
      <vt:lpstr>Default80</vt:lpstr>
      <vt:lpstr>Default81</vt:lpstr>
      <vt:lpstr>Default82</vt:lpstr>
      <vt:lpstr>Default83</vt:lpstr>
      <vt:lpstr>Default84</vt:lpstr>
      <vt:lpstr>Default85</vt:lpstr>
      <vt:lpstr>Default86</vt:lpstr>
      <vt:lpstr>Default87</vt:lpstr>
      <vt:lpstr>Default88</vt:lpstr>
      <vt:lpstr>Default89</vt:lpstr>
      <vt:lpstr>Default9</vt:lpstr>
      <vt:lpstr>Default90</vt:lpstr>
      <vt:lpstr>Default91</vt:lpstr>
      <vt:lpstr>Default92</vt:lpstr>
      <vt:lpstr>Default93</vt:lpstr>
      <vt:lpstr>Default94</vt:lpstr>
      <vt:lpstr>Default95</vt:lpstr>
      <vt:lpstr>Default96</vt:lpstr>
      <vt:lpstr>Default97</vt:lpstr>
      <vt:lpstr>Default98</vt:lpstr>
      <vt:lpstr>Default99</vt:lpstr>
      <vt:lpstr>Economy</vt:lpstr>
      <vt:lpstr>Economy1</vt:lpstr>
      <vt:lpstr>Economy2</vt:lpstr>
      <vt:lpstr>Economy3</vt:lpstr>
      <vt:lpstr>Economy4</vt:lpstr>
      <vt:lpstr>Economy5</vt:lpstr>
      <vt:lpstr>Economy6</vt:lpstr>
      <vt:lpstr>Economy7</vt:lpstr>
      <vt:lpstr>Economy8</vt:lpstr>
      <vt:lpstr>Luxury</vt:lpstr>
      <vt:lpstr>Luxury1</vt:lpstr>
      <vt:lpstr>Luxury10</vt:lpstr>
      <vt:lpstr>Luxury2</vt:lpstr>
      <vt:lpstr>Luxury3</vt:lpstr>
      <vt:lpstr>Luxury4</vt:lpstr>
      <vt:lpstr>Luxury5</vt:lpstr>
      <vt:lpstr>Luxury6</vt:lpstr>
      <vt:lpstr>Luxury7</vt:lpstr>
      <vt:lpstr>Luxury8</vt:lpstr>
      <vt:lpstr>Luxury9</vt:lpstr>
      <vt:lpstr>'BASE BID'!Print_Area</vt:lpstr>
      <vt:lpstr>'COST SUMMARY'!Print_Area</vt:lpstr>
      <vt:lpstr>'BASE BID'!Print_Titles</vt:lpstr>
      <vt:lpstr>Residential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2013-07-08T09:36:48Z</dcterms:created>
  <dcterms:modified xsi:type="dcterms:W3CDTF">2026-03-26T16:48:51Z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{2419CAA0-43B8-40BE-BDA2-D0D3B8EAFE48}</vt:lpwstr>
  </property>
</Properties>
</file>